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drawings/drawing1.xml" ContentType="application/vnd.openxmlformats-officedocument.drawing+xml"/>
  <Override PartName="/xl/ctrlProps/ctrlProp1.xml" ContentType="application/vnd.ms-excel.controlpropertie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xl/webextensions/taskpanes.xml" ContentType="application/vnd.ms-office.webextensiontaskpanes+xml"/>
  <Override PartName="/xl/webextensions/webextension1.xml" ContentType="application/vnd.ms-office.webextensio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11/relationships/webextensiontaskpanes" Target="xl/webextensions/taskpanes.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628"/>
  <workbookPr codeName="ThisWorkbook" defaultThemeVersion="166925"/>
  <mc:AlternateContent xmlns:mc="http://schemas.openxmlformats.org/markup-compatibility/2006">
    <mc:Choice Requires="x15">
      <x15ac:absPath xmlns:x15ac="http://schemas.microsoft.com/office/spreadsheetml/2010/11/ac" url="C:\Users\Vida\Desktop\VPS nauja KVIETIMAI 2026\K13 bendruomenis verslas\"/>
    </mc:Choice>
  </mc:AlternateContent>
  <xr:revisionPtr revIDLastSave="0" documentId="13_ncr:1_{04FED008-477C-4635-8EF9-E83EC8AC2F0B}" xr6:coauthVersionLast="47" xr6:coauthVersionMax="47" xr10:uidLastSave="{00000000-0000-0000-0000-000000000000}"/>
  <workbookProtection workbookAlgorithmName="SHA-512" workbookHashValue="oFzTX334JWBjNMALPGpAhMa4FgRLOZqaZmwl9VdcRpcax4AKMgu1rMRajlIKhVWZ5H9MNuG4B0OpHCS4nAD3sA==" workbookSaltValue="zRNiqKtySQN8igypiZVz4w==" workbookSpinCount="100000" lockStructure="1"/>
  <bookViews>
    <workbookView xWindow="-108" yWindow="-108" windowWidth="30936" windowHeight="16776" firstSheet="3" activeTab="3" xr2:uid="{00000000-000D-0000-FFFF-FFFF00000000}"/>
  </bookViews>
  <sheets>
    <sheet name="FA_nvoFormos" sheetId="35" state="hidden" r:id="rId1"/>
    <sheet name="Konstantos" sheetId="24" state="hidden" r:id="rId2"/>
    <sheet name="Forma" sheetId="29" state="hidden" r:id="rId3"/>
    <sheet name="Parametrai" sheetId="27" r:id="rId4"/>
    <sheet name="TURINYS" sheetId="2" r:id="rId5"/>
    <sheet name="Pastabos" sheetId="28" r:id="rId6"/>
    <sheet name="1" sheetId="23" r:id="rId7"/>
    <sheet name="2-3" sheetId="25" r:id="rId8"/>
    <sheet name="4" sheetId="6" r:id="rId9"/>
    <sheet name="5" sheetId="11" r:id="rId10"/>
    <sheet name="6" sheetId="10" r:id="rId11"/>
    <sheet name="7" sheetId="7" r:id="rId12"/>
    <sheet name="8" sheetId="12" r:id="rId13"/>
    <sheet name="9.1_nvo" sheetId="32" r:id="rId14"/>
    <sheet name="9.2_nvo" sheetId="33" r:id="rId15"/>
    <sheet name="9.3_nvo" sheetId="34" r:id="rId16"/>
    <sheet name="10_nvo" sheetId="36" r:id="rId17"/>
  </sheets>
  <definedNames>
    <definedName name="Meniu_ParamosIšmokėjimoBūdai" localSheetId="16">ParamosIšmokėjimoBūdai[Meniu_Būdas]</definedName>
    <definedName name="Meniu_ParamosIšmokėjimoBūdai" localSheetId="13">ParamosIšmokėjimoBūdai[Meniu_Būdas]</definedName>
    <definedName name="Meniu_ParamosIšmokėjimoBūdai" localSheetId="14">ParamosIšmokėjimoBūdai[Meniu_Būdas]</definedName>
    <definedName name="Meniu_ParamosIšmokėjimoBūdai" localSheetId="15">ParamosIšmokėjimoBūdai[Meniu_Būdas]</definedName>
    <definedName name="Meniu_ParamosIšmokėjimoBūdai">ParamosIšmokėjimoBūdai[Meniu_Būdas]</definedName>
    <definedName name="Meniu_TaipNe">TaipNe[Taip ar Ne]</definedName>
    <definedName name="part_3ee8e7ec16b44afe8777e3f1b27ce2d7" localSheetId="14">'9.2_nvo'!#REF!</definedName>
    <definedName name="part_528a181f99fa4dce91e9a4c6ed18ec6e" localSheetId="14">'9.2_nvo'!#REF!</definedName>
    <definedName name="part_b214239539ab4bb4a5177b487c86b6a8" localSheetId="14">'9.2_nvo'!#REF!</definedName>
    <definedName name="_xlnm.Print_Area" localSheetId="6">'1'!$A$1:$E$25</definedName>
    <definedName name="_xlnm.Print_Area" localSheetId="16">'10_nvo'!$A$1:$L$14</definedName>
    <definedName name="_xlnm.Print_Area" localSheetId="7">'2-3'!$A$1:$K$30</definedName>
    <definedName name="_xlnm.Print_Area" localSheetId="8">'4'!$A$1:$L$86</definedName>
    <definedName name="_xlnm.Print_Area" localSheetId="9">'5'!$A$1:$E$15,'5'!$A$17:$F$89</definedName>
    <definedName name="_xlnm.Print_Area" localSheetId="10">'6'!$B$1:$L$69</definedName>
    <definedName name="_xlnm.Print_Area" localSheetId="11">'7'!$A$1:$K$32</definedName>
    <definedName name="_xlnm.Print_Area" localSheetId="12">'8'!$B$1:$P$11,'8'!$B$13:$L$35</definedName>
    <definedName name="_xlnm.Print_Area" localSheetId="13">'9.1_nvo'!$B$1:$L$61</definedName>
    <definedName name="_xlnm.Print_Area" localSheetId="14">'9.2_nvo'!$B$1:$L$36</definedName>
    <definedName name="_xlnm.Print_Area" localSheetId="15">'9.3_nvo'!$B$1:$L$49</definedName>
    <definedName name="_xlnm.Print_Area" localSheetId="3">Parametrai!$B$1:$C$32</definedName>
    <definedName name="_xlnm.Print_Area" localSheetId="5">Pastabos!$B$2:$B$12</definedName>
    <definedName name="_xlnm.Print_Area" localSheetId="4">TURINYS!$B$1:$D$17</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E45" i="32" l="1"/>
  <c r="F45" i="32" s="1"/>
  <c r="G45" i="32" s="1"/>
  <c r="H45" i="32" s="1"/>
  <c r="I45" i="32" s="1"/>
  <c r="J45" i="32" s="1"/>
  <c r="K45" i="32" s="1"/>
  <c r="L45" i="32" s="1"/>
  <c r="G40" i="34"/>
  <c r="F40" i="34"/>
  <c r="H40" i="34"/>
  <c r="I40" i="34"/>
  <c r="J40" i="34"/>
  <c r="K40" i="34"/>
  <c r="L40" i="34"/>
  <c r="F36" i="32" l="1"/>
  <c r="G36" i="32"/>
  <c r="H36" i="32" s="1"/>
  <c r="I36" i="32" s="1"/>
  <c r="J36" i="32" s="1"/>
  <c r="K36" i="32" s="1"/>
  <c r="L36" i="32" s="1"/>
  <c r="E37" i="32"/>
  <c r="E9" i="32"/>
  <c r="E11" i="32"/>
  <c r="E12" i="32"/>
  <c r="E13" i="32"/>
  <c r="E14" i="32"/>
  <c r="E15" i="32"/>
  <c r="E10" i="32" s="1"/>
  <c r="E8" i="32" s="1"/>
  <c r="E21" i="32"/>
  <c r="E25" i="32"/>
  <c r="E36" i="32"/>
  <c r="F38" i="34"/>
  <c r="G38" i="34"/>
  <c r="H38" i="34"/>
  <c r="I38" i="34"/>
  <c r="J38" i="34"/>
  <c r="K38" i="34"/>
  <c r="L38" i="34"/>
  <c r="F37" i="34"/>
  <c r="G37" i="34"/>
  <c r="H37" i="34"/>
  <c r="I37" i="34"/>
  <c r="J37" i="34"/>
  <c r="K37" i="34"/>
  <c r="L37" i="34"/>
  <c r="F36" i="34"/>
  <c r="G36" i="34"/>
  <c r="H36" i="34"/>
  <c r="I36" i="34"/>
  <c r="J36" i="34"/>
  <c r="K36" i="34"/>
  <c r="L36" i="34"/>
  <c r="F35" i="34"/>
  <c r="G35" i="34"/>
  <c r="H35" i="34"/>
  <c r="I35" i="34"/>
  <c r="J35" i="34"/>
  <c r="K35" i="34"/>
  <c r="L35" i="34"/>
  <c r="F34" i="34"/>
  <c r="G34" i="34"/>
  <c r="H34" i="34"/>
  <c r="I34" i="34"/>
  <c r="J34" i="34"/>
  <c r="K34" i="34"/>
  <c r="L34" i="34"/>
  <c r="F31" i="34"/>
  <c r="G31" i="34"/>
  <c r="H31" i="34"/>
  <c r="I31" i="34"/>
  <c r="J31" i="34"/>
  <c r="K31" i="34"/>
  <c r="L31" i="34"/>
  <c r="F30" i="34"/>
  <c r="G30" i="34"/>
  <c r="H30" i="34"/>
  <c r="I30" i="34"/>
  <c r="J30" i="34"/>
  <c r="K30" i="34"/>
  <c r="L30" i="34"/>
  <c r="F22" i="34"/>
  <c r="G22" i="34"/>
  <c r="H22" i="34"/>
  <c r="I22" i="34"/>
  <c r="J22" i="34"/>
  <c r="K22" i="34"/>
  <c r="L22" i="34"/>
  <c r="F21" i="34"/>
  <c r="G21" i="34"/>
  <c r="H21" i="34"/>
  <c r="I21" i="34"/>
  <c r="J21" i="34"/>
  <c r="K21" i="34"/>
  <c r="L21" i="34"/>
  <c r="F20" i="34"/>
  <c r="G20" i="34"/>
  <c r="H20" i="34"/>
  <c r="I20" i="34"/>
  <c r="J20" i="34"/>
  <c r="K20" i="34"/>
  <c r="L20" i="34"/>
  <c r="F19" i="34"/>
  <c r="G19" i="34"/>
  <c r="H19" i="34"/>
  <c r="I19" i="34"/>
  <c r="J19" i="34"/>
  <c r="K19" i="34"/>
  <c r="L19" i="34"/>
  <c r="G18" i="34"/>
  <c r="H18" i="34"/>
  <c r="I18" i="34"/>
  <c r="J18" i="34"/>
  <c r="K18" i="34"/>
  <c r="L18" i="34"/>
  <c r="L17" i="34"/>
  <c r="G17" i="34"/>
  <c r="H17" i="34"/>
  <c r="I17" i="34"/>
  <c r="J17" i="34"/>
  <c r="K17" i="34"/>
  <c r="G16" i="34"/>
  <c r="H16" i="34"/>
  <c r="I16" i="34"/>
  <c r="J16" i="34"/>
  <c r="K16" i="34"/>
  <c r="L16" i="34"/>
  <c r="G15" i="34"/>
  <c r="H15" i="34"/>
  <c r="I15" i="34"/>
  <c r="J15" i="34"/>
  <c r="K15" i="34"/>
  <c r="L15" i="34"/>
  <c r="G14" i="34"/>
  <c r="H14" i="34"/>
  <c r="I14" i="34"/>
  <c r="J14" i="34"/>
  <c r="K14" i="34"/>
  <c r="L14" i="34"/>
  <c r="G13" i="34"/>
  <c r="H13" i="34"/>
  <c r="I13" i="34"/>
  <c r="J13" i="34"/>
  <c r="K13" i="34"/>
  <c r="L13" i="34"/>
  <c r="G12" i="34"/>
  <c r="H12" i="34"/>
  <c r="I12" i="34"/>
  <c r="J12" i="34"/>
  <c r="K12" i="34"/>
  <c r="L12" i="34"/>
  <c r="F11" i="34"/>
  <c r="G11" i="34"/>
  <c r="H11" i="34"/>
  <c r="I11" i="34"/>
  <c r="J11" i="34"/>
  <c r="K11" i="34"/>
  <c r="L11" i="34"/>
  <c r="F10" i="34"/>
  <c r="G10" i="34"/>
  <c r="H10" i="34"/>
  <c r="I10" i="34"/>
  <c r="J10" i="34"/>
  <c r="K10" i="34"/>
  <c r="L10" i="34"/>
  <c r="F24" i="33"/>
  <c r="G24" i="33"/>
  <c r="H24" i="33"/>
  <c r="I24" i="33"/>
  <c r="J24" i="33"/>
  <c r="K24" i="33"/>
  <c r="L24" i="33"/>
  <c r="F23" i="33"/>
  <c r="G23" i="33"/>
  <c r="H23" i="33"/>
  <c r="I23" i="33"/>
  <c r="J23" i="33"/>
  <c r="K23" i="33"/>
  <c r="L23" i="33"/>
  <c r="F22" i="33"/>
  <c r="G22" i="33"/>
  <c r="H22" i="33"/>
  <c r="H19" i="33" s="1"/>
  <c r="I22" i="33"/>
  <c r="J22" i="33"/>
  <c r="K22" i="33"/>
  <c r="L22" i="33"/>
  <c r="F21" i="33"/>
  <c r="G21" i="33"/>
  <c r="H21" i="33"/>
  <c r="I21" i="33"/>
  <c r="J21" i="33"/>
  <c r="K21" i="33"/>
  <c r="L21" i="33"/>
  <c r="F20" i="33"/>
  <c r="G20" i="33"/>
  <c r="H20" i="33"/>
  <c r="I20" i="33"/>
  <c r="J20" i="33"/>
  <c r="K20" i="33"/>
  <c r="L20" i="33"/>
  <c r="F13" i="33"/>
  <c r="F11" i="33" s="1"/>
  <c r="G13" i="33"/>
  <c r="G11" i="33" s="1"/>
  <c r="H13" i="33"/>
  <c r="I13" i="33"/>
  <c r="J13" i="33"/>
  <c r="J11" i="33" s="1"/>
  <c r="K13" i="33"/>
  <c r="K11" i="33" s="1"/>
  <c r="L13" i="33"/>
  <c r="H11" i="33"/>
  <c r="I11" i="33"/>
  <c r="L11" i="33"/>
  <c r="F55" i="32"/>
  <c r="G55" i="32"/>
  <c r="H55" i="32"/>
  <c r="I55" i="32"/>
  <c r="J55" i="32"/>
  <c r="J53" i="32" s="1"/>
  <c r="K55" i="32"/>
  <c r="L55" i="32"/>
  <c r="F54" i="32"/>
  <c r="G54" i="32"/>
  <c r="H54" i="32"/>
  <c r="I54" i="32"/>
  <c r="J54" i="32"/>
  <c r="K54" i="32"/>
  <c r="L54" i="32"/>
  <c r="F53" i="32"/>
  <c r="G53" i="32"/>
  <c r="H53" i="32"/>
  <c r="I53" i="32"/>
  <c r="L53" i="32"/>
  <c r="L49" i="32" s="1"/>
  <c r="F51" i="32"/>
  <c r="F50" i="32" s="1"/>
  <c r="G51" i="32"/>
  <c r="H51" i="32"/>
  <c r="I51" i="32"/>
  <c r="I50" i="32" s="1"/>
  <c r="I49" i="32" s="1"/>
  <c r="J51" i="32"/>
  <c r="J50" i="32" s="1"/>
  <c r="K51" i="32"/>
  <c r="L51" i="32"/>
  <c r="G50" i="32"/>
  <c r="H50" i="32"/>
  <c r="H49" i="32" s="1"/>
  <c r="K50" i="32"/>
  <c r="L50" i="32"/>
  <c r="I39" i="32"/>
  <c r="J39" i="32"/>
  <c r="K39" i="32"/>
  <c r="L39" i="32"/>
  <c r="F25" i="32"/>
  <c r="G25" i="32"/>
  <c r="H25" i="32"/>
  <c r="I25" i="32"/>
  <c r="J25" i="32"/>
  <c r="K25" i="32"/>
  <c r="L25" i="32"/>
  <c r="F21" i="32"/>
  <c r="G21" i="32"/>
  <c r="H21" i="32"/>
  <c r="I21" i="32"/>
  <c r="J21" i="32"/>
  <c r="K21" i="32"/>
  <c r="L21" i="32"/>
  <c r="F15" i="32"/>
  <c r="G15" i="32"/>
  <c r="H15" i="32"/>
  <c r="I15" i="32"/>
  <c r="J15" i="32"/>
  <c r="K15" i="32"/>
  <c r="L15" i="32"/>
  <c r="F14" i="32"/>
  <c r="G14" i="32"/>
  <c r="H14" i="32"/>
  <c r="I14" i="32"/>
  <c r="J14" i="32"/>
  <c r="K14" i="32"/>
  <c r="L14" i="32"/>
  <c r="F13" i="32"/>
  <c r="G13" i="32"/>
  <c r="H13" i="32"/>
  <c r="I13" i="32"/>
  <c r="J13" i="32"/>
  <c r="K13" i="32"/>
  <c r="L13" i="32"/>
  <c r="F12" i="32"/>
  <c r="G12" i="32"/>
  <c r="H12" i="32"/>
  <c r="I12" i="32"/>
  <c r="J12" i="32"/>
  <c r="K12" i="32"/>
  <c r="L12" i="32"/>
  <c r="L9" i="32"/>
  <c r="F9" i="32"/>
  <c r="G9" i="32"/>
  <c r="H9" i="32"/>
  <c r="I9" i="32"/>
  <c r="J9" i="32"/>
  <c r="K9" i="32"/>
  <c r="F33" i="12"/>
  <c r="G30" i="12" s="1"/>
  <c r="G33" i="12" s="1"/>
  <c r="H30" i="12" s="1"/>
  <c r="H33" i="12" s="1"/>
  <c r="I30" i="12" s="1"/>
  <c r="I33" i="12" s="1"/>
  <c r="J30" i="12" s="1"/>
  <c r="J33" i="12" s="1"/>
  <c r="F30" i="12"/>
  <c r="F23" i="12"/>
  <c r="G16" i="12" s="1"/>
  <c r="G23" i="12" s="1"/>
  <c r="H16" i="12" s="1"/>
  <c r="H23" i="12" s="1"/>
  <c r="I16" i="12" s="1"/>
  <c r="I23" i="12" s="1"/>
  <c r="J16" i="12" s="1"/>
  <c r="J23" i="12" s="1"/>
  <c r="F18" i="12"/>
  <c r="G18" i="12" s="1"/>
  <c r="H18" i="12" s="1"/>
  <c r="I18" i="12" s="1"/>
  <c r="J18" i="12" s="1"/>
  <c r="K18" i="12" s="1"/>
  <c r="L18" i="12" s="1"/>
  <c r="F17" i="12"/>
  <c r="G17" i="12" s="1"/>
  <c r="H17" i="12" s="1"/>
  <c r="I17" i="12" s="1"/>
  <c r="J17" i="12" s="1"/>
  <c r="K17" i="12" s="1"/>
  <c r="L17" i="12" s="1"/>
  <c r="F16" i="12"/>
  <c r="E31" i="7"/>
  <c r="E32" i="7" s="1"/>
  <c r="F31" i="7"/>
  <c r="F32" i="7" s="1"/>
  <c r="G31" i="7"/>
  <c r="G32" i="7" s="1"/>
  <c r="H31" i="7"/>
  <c r="H32" i="7" s="1"/>
  <c r="I31" i="7"/>
  <c r="I32" i="7" s="1"/>
  <c r="J31" i="7"/>
  <c r="J32" i="7" s="1"/>
  <c r="K31" i="7"/>
  <c r="K32" i="7" s="1"/>
  <c r="E29" i="7"/>
  <c r="F29" i="7"/>
  <c r="G29" i="7"/>
  <c r="H29" i="7"/>
  <c r="I29" i="7"/>
  <c r="J29" i="7"/>
  <c r="K29" i="7"/>
  <c r="E21" i="7"/>
  <c r="F21" i="7"/>
  <c r="G21" i="7"/>
  <c r="H21" i="7"/>
  <c r="I21" i="7"/>
  <c r="J21" i="7"/>
  <c r="K21" i="7"/>
  <c r="E6" i="7"/>
  <c r="F6" i="7"/>
  <c r="G6" i="7"/>
  <c r="H6" i="7"/>
  <c r="I6" i="7"/>
  <c r="J6" i="7"/>
  <c r="K6" i="7"/>
  <c r="F68" i="10"/>
  <c r="G68" i="10"/>
  <c r="H68" i="10"/>
  <c r="I68" i="10"/>
  <c r="J68" i="10"/>
  <c r="K68" i="10"/>
  <c r="L68" i="10"/>
  <c r="F67" i="10"/>
  <c r="G67" i="10"/>
  <c r="H67" i="10"/>
  <c r="I67" i="10"/>
  <c r="J67" i="10"/>
  <c r="K67" i="10"/>
  <c r="F66" i="10"/>
  <c r="E12" i="7" s="1"/>
  <c r="G66" i="10"/>
  <c r="F12" i="7" s="1"/>
  <c r="H66" i="10"/>
  <c r="G12" i="7" s="1"/>
  <c r="I66" i="10"/>
  <c r="H12" i="7" s="1"/>
  <c r="H14" i="7" s="1"/>
  <c r="I17" i="33" s="1"/>
  <c r="J66" i="10"/>
  <c r="I12" i="7" s="1"/>
  <c r="K66" i="10"/>
  <c r="J12" i="7" s="1"/>
  <c r="L66" i="10"/>
  <c r="K12" i="7" s="1"/>
  <c r="F65" i="10"/>
  <c r="G65" i="10"/>
  <c r="H65" i="10"/>
  <c r="I65" i="10"/>
  <c r="J65" i="10"/>
  <c r="K65" i="10"/>
  <c r="L65" i="10"/>
  <c r="F64" i="10"/>
  <c r="G64" i="10"/>
  <c r="H64" i="10"/>
  <c r="I64" i="10"/>
  <c r="J64" i="10"/>
  <c r="K64" i="10"/>
  <c r="L64" i="10"/>
  <c r="F63" i="10"/>
  <c r="G63" i="10"/>
  <c r="H63" i="10"/>
  <c r="I63" i="10"/>
  <c r="J63" i="10"/>
  <c r="K63" i="10"/>
  <c r="L63" i="10"/>
  <c r="F62" i="10"/>
  <c r="F25" i="34" s="1"/>
  <c r="F32" i="34" s="1"/>
  <c r="G62" i="10"/>
  <c r="G25" i="34" s="1"/>
  <c r="G32" i="34" s="1"/>
  <c r="H62" i="10"/>
  <c r="H25" i="34" s="1"/>
  <c r="H32" i="34" s="1"/>
  <c r="I62" i="10"/>
  <c r="I25" i="34" s="1"/>
  <c r="I32" i="34" s="1"/>
  <c r="J62" i="10"/>
  <c r="J25" i="34" s="1"/>
  <c r="J32" i="34" s="1"/>
  <c r="K62" i="10"/>
  <c r="K25" i="34" s="1"/>
  <c r="K32" i="34" s="1"/>
  <c r="F61" i="10"/>
  <c r="G61" i="10"/>
  <c r="H61" i="10"/>
  <c r="I61" i="10"/>
  <c r="J61" i="10"/>
  <c r="K61" i="10"/>
  <c r="L61" i="10"/>
  <c r="F59" i="10"/>
  <c r="G59" i="10"/>
  <c r="H59" i="10"/>
  <c r="I59" i="10"/>
  <c r="J59" i="10"/>
  <c r="K59" i="10"/>
  <c r="L59" i="10"/>
  <c r="L58" i="10"/>
  <c r="F58" i="10"/>
  <c r="F55" i="10"/>
  <c r="G55" i="10"/>
  <c r="G58" i="10" s="1"/>
  <c r="H55" i="10" s="1"/>
  <c r="H58" i="10" s="1"/>
  <c r="I55" i="10" s="1"/>
  <c r="I58" i="10" s="1"/>
  <c r="J55" i="10" s="1"/>
  <c r="J58" i="10" s="1"/>
  <c r="F54" i="10"/>
  <c r="G51" i="10" s="1"/>
  <c r="G54" i="10" s="1"/>
  <c r="H51" i="10" s="1"/>
  <c r="H54" i="10" s="1"/>
  <c r="I51" i="10" s="1"/>
  <c r="I54" i="10" s="1"/>
  <c r="J51" i="10" s="1"/>
  <c r="J54" i="10" s="1"/>
  <c r="F51" i="10"/>
  <c r="F49" i="10"/>
  <c r="G49" i="10"/>
  <c r="H49" i="10"/>
  <c r="I49" i="10"/>
  <c r="J49" i="10"/>
  <c r="K49" i="10"/>
  <c r="L49" i="10"/>
  <c r="F48" i="10"/>
  <c r="G45" i="10" s="1"/>
  <c r="G48" i="10" s="1"/>
  <c r="H45" i="10" s="1"/>
  <c r="H48" i="10" s="1"/>
  <c r="I45" i="10" s="1"/>
  <c r="I48" i="10" s="1"/>
  <c r="J45" i="10" s="1"/>
  <c r="J48" i="10" s="1"/>
  <c r="F45" i="10"/>
  <c r="F44" i="10"/>
  <c r="G41" i="10" s="1"/>
  <c r="G44" i="10" s="1"/>
  <c r="H41" i="10" s="1"/>
  <c r="H44" i="10" s="1"/>
  <c r="I41" i="10" s="1"/>
  <c r="I44" i="10" s="1"/>
  <c r="J41" i="10" s="1"/>
  <c r="J44" i="10" s="1"/>
  <c r="F41" i="10"/>
  <c r="F39" i="10"/>
  <c r="G39" i="10"/>
  <c r="H39" i="10"/>
  <c r="I39" i="10"/>
  <c r="J39" i="10"/>
  <c r="K39" i="10"/>
  <c r="L39" i="10"/>
  <c r="F38" i="10"/>
  <c r="G35" i="10" s="1"/>
  <c r="G38" i="10" s="1"/>
  <c r="H35" i="10" s="1"/>
  <c r="H38" i="10" s="1"/>
  <c r="I35" i="10" s="1"/>
  <c r="I38" i="10" s="1"/>
  <c r="J35" i="10" s="1"/>
  <c r="J38" i="10" s="1"/>
  <c r="F35" i="10"/>
  <c r="F34" i="10"/>
  <c r="G31" i="10" s="1"/>
  <c r="G34" i="10" s="1"/>
  <c r="H31" i="10" s="1"/>
  <c r="H34" i="10" s="1"/>
  <c r="I31" i="10" s="1"/>
  <c r="I34" i="10" s="1"/>
  <c r="J31" i="10" s="1"/>
  <c r="J34" i="10" s="1"/>
  <c r="F31" i="10"/>
  <c r="F29" i="10"/>
  <c r="G29" i="10"/>
  <c r="H29" i="10"/>
  <c r="I29" i="10"/>
  <c r="J29" i="10"/>
  <c r="K29" i="10"/>
  <c r="L29" i="10"/>
  <c r="F28" i="10"/>
  <c r="G25" i="10" s="1"/>
  <c r="G28" i="10" s="1"/>
  <c r="H25" i="10" s="1"/>
  <c r="H28" i="10" s="1"/>
  <c r="I25" i="10" s="1"/>
  <c r="I28" i="10" s="1"/>
  <c r="J25" i="10" s="1"/>
  <c r="J28" i="10" s="1"/>
  <c r="F25" i="10"/>
  <c r="F24" i="10"/>
  <c r="G24" i="10"/>
  <c r="H21" i="10" s="1"/>
  <c r="H24" i="10" s="1"/>
  <c r="I21" i="10" s="1"/>
  <c r="I24" i="10" s="1"/>
  <c r="J21" i="10" s="1"/>
  <c r="J24" i="10" s="1"/>
  <c r="F21" i="10"/>
  <c r="G21" i="10"/>
  <c r="F19" i="10"/>
  <c r="G19" i="10"/>
  <c r="H19" i="10"/>
  <c r="I19" i="10"/>
  <c r="J19" i="10"/>
  <c r="K19" i="10"/>
  <c r="L19" i="10"/>
  <c r="F18" i="10"/>
  <c r="G15" i="10" s="1"/>
  <c r="G18" i="10" s="1"/>
  <c r="H15" i="10" s="1"/>
  <c r="H18" i="10" s="1"/>
  <c r="I15" i="10" s="1"/>
  <c r="I18" i="10" s="1"/>
  <c r="J15" i="10" s="1"/>
  <c r="J18" i="10" s="1"/>
  <c r="F15" i="10"/>
  <c r="F14" i="10"/>
  <c r="G14" i="10"/>
  <c r="F11" i="10"/>
  <c r="G11" i="10"/>
  <c r="H11" i="10"/>
  <c r="H14" i="10" s="1"/>
  <c r="I11" i="10" s="1"/>
  <c r="I14" i="10" s="1"/>
  <c r="J11" i="10" s="1"/>
  <c r="J14" i="10" s="1"/>
  <c r="F9" i="10"/>
  <c r="G6" i="10" s="1"/>
  <c r="G9" i="10" s="1"/>
  <c r="H6" i="10" s="1"/>
  <c r="H9" i="10" s="1"/>
  <c r="I6" i="10" s="1"/>
  <c r="I9" i="10" s="1"/>
  <c r="J6" i="10" s="1"/>
  <c r="J9" i="10" s="1"/>
  <c r="J11" i="32" s="1"/>
  <c r="F6" i="10"/>
  <c r="F85" i="6"/>
  <c r="G85" i="6"/>
  <c r="H85" i="6"/>
  <c r="I85" i="6"/>
  <c r="J85" i="6"/>
  <c r="K85" i="6"/>
  <c r="K9" i="6" s="1"/>
  <c r="K10" i="33" s="1"/>
  <c r="L85" i="6"/>
  <c r="F79" i="6"/>
  <c r="G79" i="6"/>
  <c r="G9" i="6" s="1"/>
  <c r="G10" i="33" s="1"/>
  <c r="H79" i="6"/>
  <c r="I79" i="6"/>
  <c r="J79" i="6"/>
  <c r="K79" i="6"/>
  <c r="L79" i="6"/>
  <c r="F73" i="6"/>
  <c r="G73" i="6"/>
  <c r="G8" i="6" s="1"/>
  <c r="G9" i="33" s="1"/>
  <c r="H73" i="6"/>
  <c r="I73" i="6"/>
  <c r="J73" i="6"/>
  <c r="K73" i="6"/>
  <c r="L73" i="6"/>
  <c r="F67" i="6"/>
  <c r="G67" i="6"/>
  <c r="H67" i="6"/>
  <c r="I67" i="6"/>
  <c r="J67" i="6"/>
  <c r="J8" i="6" s="1"/>
  <c r="J9" i="33" s="1"/>
  <c r="K67" i="6"/>
  <c r="L67" i="6"/>
  <c r="F61" i="6"/>
  <c r="G61" i="6"/>
  <c r="H61" i="6"/>
  <c r="I61" i="6"/>
  <c r="J61" i="6"/>
  <c r="K61" i="6"/>
  <c r="L61" i="6"/>
  <c r="F55" i="6"/>
  <c r="G55" i="6"/>
  <c r="H55" i="6"/>
  <c r="I55" i="6"/>
  <c r="J55" i="6"/>
  <c r="K55" i="6"/>
  <c r="L55" i="6"/>
  <c r="F49" i="6"/>
  <c r="G49" i="6"/>
  <c r="H49" i="6"/>
  <c r="I49" i="6"/>
  <c r="J49" i="6"/>
  <c r="K49" i="6"/>
  <c r="L49" i="6"/>
  <c r="F43" i="6"/>
  <c r="G43" i="6"/>
  <c r="H43" i="6"/>
  <c r="I43" i="6"/>
  <c r="J43" i="6"/>
  <c r="K43" i="6"/>
  <c r="L43" i="6"/>
  <c r="F36" i="6"/>
  <c r="G36" i="6"/>
  <c r="H36" i="6"/>
  <c r="I36" i="6"/>
  <c r="J36" i="6"/>
  <c r="K36" i="6"/>
  <c r="L36" i="6"/>
  <c r="F29" i="6"/>
  <c r="G29" i="6"/>
  <c r="H29" i="6"/>
  <c r="I29" i="6"/>
  <c r="J29" i="6"/>
  <c r="K29" i="6"/>
  <c r="L29" i="6"/>
  <c r="F22" i="6"/>
  <c r="G22" i="6"/>
  <c r="H22" i="6"/>
  <c r="I22" i="6"/>
  <c r="J22" i="6"/>
  <c r="K22" i="6"/>
  <c r="L22" i="6"/>
  <c r="F15" i="6"/>
  <c r="G15" i="6"/>
  <c r="H15" i="6"/>
  <c r="I15" i="6"/>
  <c r="J15" i="6"/>
  <c r="K15" i="6"/>
  <c r="L15" i="6"/>
  <c r="F9" i="6"/>
  <c r="F10" i="33" s="1"/>
  <c r="H9" i="6"/>
  <c r="H10" i="33" s="1"/>
  <c r="I9" i="6"/>
  <c r="I10" i="33" s="1"/>
  <c r="J9" i="6"/>
  <c r="J10" i="33" s="1"/>
  <c r="L9" i="6"/>
  <c r="L10" i="33" s="1"/>
  <c r="H8" i="6"/>
  <c r="H9" i="33" s="1"/>
  <c r="I8" i="6"/>
  <c r="I9" i="33" s="1"/>
  <c r="L8" i="6"/>
  <c r="L9" i="33" s="1"/>
  <c r="F7" i="6"/>
  <c r="F8" i="33" s="1"/>
  <c r="G7" i="6"/>
  <c r="G8" i="33" s="1"/>
  <c r="H7" i="6"/>
  <c r="H8" i="33" s="1"/>
  <c r="I7" i="6"/>
  <c r="I8" i="33" s="1"/>
  <c r="I7" i="33" s="1"/>
  <c r="J7" i="6"/>
  <c r="J8" i="33" s="1"/>
  <c r="K7" i="6"/>
  <c r="K8" i="33" s="1"/>
  <c r="F14" i="25"/>
  <c r="G14" i="25"/>
  <c r="H14" i="25"/>
  <c r="I14" i="25"/>
  <c r="J14" i="7" l="1"/>
  <c r="K17" i="33" s="1"/>
  <c r="K9" i="34"/>
  <c r="I14" i="7"/>
  <c r="J17" i="33" s="1"/>
  <c r="J9" i="34"/>
  <c r="H9" i="34"/>
  <c r="G14" i="7"/>
  <c r="H17" i="33" s="1"/>
  <c r="H16" i="33" s="1"/>
  <c r="G9" i="34"/>
  <c r="F14" i="7"/>
  <c r="G17" i="33" s="1"/>
  <c r="F9" i="34"/>
  <c r="E14" i="7"/>
  <c r="F17" i="33" s="1"/>
  <c r="L9" i="34"/>
  <c r="K14" i="7"/>
  <c r="L17" i="33" s="1"/>
  <c r="I11" i="32"/>
  <c r="I10" i="32" s="1"/>
  <c r="I8" i="32" s="1"/>
  <c r="J69" i="10"/>
  <c r="H11" i="32"/>
  <c r="H10" i="32" s="1"/>
  <c r="H8" i="32" s="1"/>
  <c r="I69" i="10"/>
  <c r="G11" i="32"/>
  <c r="I9" i="34"/>
  <c r="H69" i="10"/>
  <c r="F11" i="32"/>
  <c r="F10" i="32" s="1"/>
  <c r="F8" i="32" s="1"/>
  <c r="G69" i="10"/>
  <c r="F69" i="10"/>
  <c r="H7" i="33"/>
  <c r="F12" i="34"/>
  <c r="F19" i="33"/>
  <c r="G19" i="33"/>
  <c r="I19" i="33"/>
  <c r="I16" i="33" s="1"/>
  <c r="I25" i="33" s="1"/>
  <c r="I26" i="33" s="1"/>
  <c r="I27" i="33" s="1"/>
  <c r="J7" i="33"/>
  <c r="G7" i="33"/>
  <c r="G49" i="32"/>
  <c r="K53" i="32"/>
  <c r="K49" i="32" s="1"/>
  <c r="J49" i="32"/>
  <c r="F49" i="32"/>
  <c r="G10" i="32"/>
  <c r="G8" i="32" s="1"/>
  <c r="J10" i="32"/>
  <c r="J8" i="32" s="1"/>
  <c r="K8" i="6"/>
  <c r="F8" i="6"/>
  <c r="F9" i="33" s="1"/>
  <c r="F7" i="33" s="1"/>
  <c r="L7" i="6"/>
  <c r="I6" i="6"/>
  <c r="H6" i="6"/>
  <c r="G6" i="6"/>
  <c r="E14" i="25"/>
  <c r="J14" i="25"/>
  <c r="K14" i="25"/>
  <c r="F16" i="33" l="1"/>
  <c r="F25" i="33" s="1"/>
  <c r="F26" i="33" s="1"/>
  <c r="F27" i="33" s="1"/>
  <c r="I8" i="34"/>
  <c r="I23" i="34" s="1"/>
  <c r="I6" i="36"/>
  <c r="H25" i="33"/>
  <c r="H26" i="33" s="1"/>
  <c r="H27" i="33" s="1"/>
  <c r="H8" i="34" s="1"/>
  <c r="H23" i="34" s="1"/>
  <c r="G16" i="33"/>
  <c r="G25" i="33" s="1"/>
  <c r="K6" i="6"/>
  <c r="K9" i="33"/>
  <c r="K7" i="33" s="1"/>
  <c r="F13" i="34"/>
  <c r="F6" i="6"/>
  <c r="L6" i="6"/>
  <c r="J6" i="6"/>
  <c r="F6" i="36" l="1"/>
  <c r="F8" i="34"/>
  <c r="G26" i="33"/>
  <c r="G27" i="33"/>
  <c r="G8" i="34" s="1"/>
  <c r="G23" i="34" s="1"/>
  <c r="H6" i="36"/>
  <c r="F14" i="34"/>
  <c r="G6" i="36" l="1"/>
  <c r="F15" i="34"/>
  <c r="D82" i="11"/>
  <c r="F16" i="34" l="1"/>
  <c r="D22" i="23"/>
  <c r="F17" i="34" l="1"/>
  <c r="L67" i="10"/>
  <c r="L62" i="10"/>
  <c r="L25" i="34" s="1"/>
  <c r="L32" i="34" s="1"/>
  <c r="F18" i="34" l="1"/>
  <c r="F23" i="34" s="1"/>
  <c r="L8" i="33"/>
  <c r="L7" i="33" s="1"/>
  <c r="L19" i="33"/>
  <c r="L16" i="33" s="1"/>
  <c r="K19" i="33"/>
  <c r="K16" i="33" s="1"/>
  <c r="K25" i="33" s="1"/>
  <c r="K26" i="33" s="1"/>
  <c r="K27" i="33" s="1"/>
  <c r="L25" i="33" l="1"/>
  <c r="L26" i="33" s="1"/>
  <c r="L27" i="33" s="1"/>
  <c r="L8" i="34" s="1"/>
  <c r="L23" i="34" s="1"/>
  <c r="K6" i="36"/>
  <c r="K8" i="34"/>
  <c r="K23" i="34" s="1"/>
  <c r="F37" i="32"/>
  <c r="G37" i="32" s="1"/>
  <c r="H37" i="32" s="1"/>
  <c r="I37" i="32" s="1"/>
  <c r="J37" i="32" s="1"/>
  <c r="K37" i="32" s="1"/>
  <c r="L37" i="32" s="1"/>
  <c r="F43" i="32"/>
  <c r="F41" i="32" s="1"/>
  <c r="A9" i="29"/>
  <c r="B92" i="24"/>
  <c r="B91" i="24"/>
  <c r="A91" i="24" s="1"/>
  <c r="B93" i="24"/>
  <c r="D62" i="10"/>
  <c r="C6" i="7"/>
  <c r="D29" i="7"/>
  <c r="J19" i="33"/>
  <c r="J16" i="33" s="1"/>
  <c r="J25" i="33" s="1"/>
  <c r="J26" i="33" s="1"/>
  <c r="J27" i="33" s="1"/>
  <c r="C29" i="7"/>
  <c r="D21" i="7"/>
  <c r="C21" i="7"/>
  <c r="A32" i="7"/>
  <c r="B32" i="7"/>
  <c r="D31" i="7"/>
  <c r="D32" i="7" s="1"/>
  <c r="C31" i="7"/>
  <c r="E12" i="34"/>
  <c r="E10" i="34"/>
  <c r="E30" i="34"/>
  <c r="D31" i="34"/>
  <c r="E31" i="34"/>
  <c r="D30" i="34"/>
  <c r="A8" i="29"/>
  <c r="D43" i="32"/>
  <c r="O6" i="36"/>
  <c r="O5" i="36"/>
  <c r="C4" i="36"/>
  <c r="D3" i="36"/>
  <c r="L6" i="36" l="1"/>
  <c r="J8" i="34"/>
  <c r="J23" i="34" s="1"/>
  <c r="J6" i="36"/>
  <c r="G43" i="32"/>
  <c r="G41" i="32" s="1"/>
  <c r="H39" i="32"/>
  <c r="C32" i="7"/>
  <c r="D4" i="36"/>
  <c r="E34" i="34"/>
  <c r="E35" i="34"/>
  <c r="E38" i="34"/>
  <c r="E36" i="34"/>
  <c r="E37" i="34"/>
  <c r="D34" i="34"/>
  <c r="D36" i="34"/>
  <c r="D35" i="34"/>
  <c r="E22" i="34"/>
  <c r="E21" i="34"/>
  <c r="E20" i="34"/>
  <c r="E19" i="34"/>
  <c r="E18" i="34"/>
  <c r="E17" i="34"/>
  <c r="E16" i="34"/>
  <c r="E15" i="34"/>
  <c r="E14" i="34"/>
  <c r="H43" i="32" l="1"/>
  <c r="H41" i="32" s="1"/>
  <c r="E4" i="36"/>
  <c r="F4" i="36" s="1"/>
  <c r="G4" i="36" s="1"/>
  <c r="D37" i="34"/>
  <c r="D38" i="34"/>
  <c r="D5" i="34"/>
  <c r="D6" i="34" s="1"/>
  <c r="E13" i="33"/>
  <c r="E11" i="33" s="1"/>
  <c r="D13" i="33"/>
  <c r="D11" i="33" s="1"/>
  <c r="D54" i="32"/>
  <c r="D55" i="32"/>
  <c r="E54" i="32"/>
  <c r="D41" i="32"/>
  <c r="D23" i="33"/>
  <c r="D11" i="34" s="1"/>
  <c r="E21" i="33"/>
  <c r="D21" i="33"/>
  <c r="E22" i="33"/>
  <c r="D22" i="33"/>
  <c r="E23" i="33"/>
  <c r="E11" i="34" s="1"/>
  <c r="D5" i="33"/>
  <c r="D6" i="33" s="1"/>
  <c r="D25" i="32"/>
  <c r="D21" i="32"/>
  <c r="D5" i="32"/>
  <c r="D6" i="32" s="1"/>
  <c r="A7" i="29"/>
  <c r="G17" i="23"/>
  <c r="C3" i="7"/>
  <c r="C4" i="7" s="1"/>
  <c r="C10" i="25"/>
  <c r="C11" i="25" s="1"/>
  <c r="D4" i="6"/>
  <c r="D5" i="6" s="1"/>
  <c r="D3" i="10"/>
  <c r="D4" i="10" s="1"/>
  <c r="D28" i="12"/>
  <c r="D29" i="12" s="1"/>
  <c r="D14" i="12"/>
  <c r="D15" i="12" s="1"/>
  <c r="G22" i="23"/>
  <c r="C19" i="23"/>
  <c r="E1" i="23"/>
  <c r="G19" i="23"/>
  <c r="F6" i="32" l="1"/>
  <c r="H4" i="36"/>
  <c r="I4" i="36" s="1"/>
  <c r="J4" i="36" s="1"/>
  <c r="I43" i="32"/>
  <c r="I41" i="32" s="1"/>
  <c r="D4" i="7"/>
  <c r="D24" i="33"/>
  <c r="D45" i="34"/>
  <c r="E13" i="34"/>
  <c r="D11" i="25"/>
  <c r="E11" i="25" s="1"/>
  <c r="E6" i="34"/>
  <c r="D53" i="32"/>
  <c r="D20" i="32"/>
  <c r="E6" i="33"/>
  <c r="F6" i="33" s="1"/>
  <c r="E6" i="32"/>
  <c r="E5" i="6"/>
  <c r="F5" i="6" s="1"/>
  <c r="E4" i="10"/>
  <c r="F4" i="10" s="1"/>
  <c r="G4" i="10" s="1"/>
  <c r="E29" i="12"/>
  <c r="F29" i="12" s="1"/>
  <c r="G29" i="12" s="1"/>
  <c r="E15" i="12"/>
  <c r="F15" i="12" s="1"/>
  <c r="B15" i="11"/>
  <c r="B14" i="11"/>
  <c r="B13" i="11"/>
  <c r="G18" i="23"/>
  <c r="G11" i="23"/>
  <c r="D84" i="6"/>
  <c r="D78" i="6"/>
  <c r="D72" i="6"/>
  <c r="D66" i="6"/>
  <c r="D60" i="6"/>
  <c r="D54" i="6"/>
  <c r="D48" i="6"/>
  <c r="D42" i="6"/>
  <c r="D35" i="6"/>
  <c r="D28" i="6"/>
  <c r="D21" i="6"/>
  <c r="D14" i="6"/>
  <c r="C26" i="11"/>
  <c r="A9" i="23"/>
  <c r="B14" i="2"/>
  <c r="B15" i="2"/>
  <c r="B16" i="2"/>
  <c r="B17" i="2"/>
  <c r="B13" i="2"/>
  <c r="B12" i="2"/>
  <c r="B5" i="2"/>
  <c r="B6" i="2"/>
  <c r="B7" i="2"/>
  <c r="B8" i="2"/>
  <c r="B9" i="2"/>
  <c r="B10" i="2"/>
  <c r="B11" i="2"/>
  <c r="C83" i="11"/>
  <c r="C69" i="11"/>
  <c r="C55" i="11"/>
  <c r="C27" i="11"/>
  <c r="C41" i="11"/>
  <c r="C40" i="11"/>
  <c r="C54" i="11"/>
  <c r="C68" i="11"/>
  <c r="C82" i="11"/>
  <c r="H76" i="11"/>
  <c r="G5" i="6" l="1"/>
  <c r="H5" i="6" s="1"/>
  <c r="I5" i="6"/>
  <c r="J5" i="6" s="1"/>
  <c r="G6" i="33"/>
  <c r="H29" i="12"/>
  <c r="I29" i="12" s="1"/>
  <c r="J29" i="12" s="1"/>
  <c r="H4" i="10"/>
  <c r="I4" i="10" s="1"/>
  <c r="J4" i="10" s="1"/>
  <c r="K4" i="10" s="1"/>
  <c r="L4" i="10" s="1"/>
  <c r="E4" i="7"/>
  <c r="H6" i="32"/>
  <c r="F11" i="25"/>
  <c r="H11" i="25" s="1"/>
  <c r="G6" i="32"/>
  <c r="K4" i="36"/>
  <c r="L4" i="36" s="1"/>
  <c r="G11" i="25"/>
  <c r="G15" i="12"/>
  <c r="H15" i="12" s="1"/>
  <c r="F6" i="34"/>
  <c r="J43" i="32"/>
  <c r="J41" i="32" s="1"/>
  <c r="I11" i="25" l="1"/>
  <c r="J11" i="25" s="1"/>
  <c r="K11" i="25" s="1"/>
  <c r="K29" i="12"/>
  <c r="L29" i="12" s="1"/>
  <c r="G6" i="34"/>
  <c r="I15" i="12"/>
  <c r="H6" i="33"/>
  <c r="I6" i="33" s="1"/>
  <c r="F4" i="7"/>
  <c r="H4" i="7" s="1"/>
  <c r="I4" i="7" s="1"/>
  <c r="I6" i="32"/>
  <c r="J6" i="32" s="1"/>
  <c r="K5" i="6"/>
  <c r="L5" i="6" s="1"/>
  <c r="G4" i="7"/>
  <c r="H6" i="34"/>
  <c r="K43" i="32"/>
  <c r="K41" i="32" s="1"/>
  <c r="L43" i="32"/>
  <c r="L41" i="32" s="1"/>
  <c r="C13" i="6"/>
  <c r="J4" i="7" l="1"/>
  <c r="K4" i="7" s="1"/>
  <c r="K6" i="32"/>
  <c r="L6" i="32" s="1"/>
  <c r="J6" i="33"/>
  <c r="J15" i="12"/>
  <c r="K15" i="12" s="1"/>
  <c r="L15" i="12" s="1"/>
  <c r="K6" i="33"/>
  <c r="L6" i="33" s="1"/>
  <c r="I6" i="34"/>
  <c r="E79" i="6"/>
  <c r="E73" i="6"/>
  <c r="Q86" i="6"/>
  <c r="Q85" i="6"/>
  <c r="Q84" i="6"/>
  <c r="Q83" i="6"/>
  <c r="R82" i="6"/>
  <c r="R83" i="6" s="1"/>
  <c r="Q82" i="6"/>
  <c r="R81" i="6"/>
  <c r="Q81" i="6"/>
  <c r="Q80" i="6"/>
  <c r="Q79" i="6"/>
  <c r="Q78" i="6"/>
  <c r="Q77" i="6"/>
  <c r="R76" i="6"/>
  <c r="Q76" i="6"/>
  <c r="R75" i="6"/>
  <c r="Q75" i="6"/>
  <c r="Q74" i="6"/>
  <c r="Q73" i="6"/>
  <c r="Q72" i="6"/>
  <c r="Q71" i="6"/>
  <c r="R70" i="6"/>
  <c r="R71" i="6" s="1"/>
  <c r="Q70" i="6"/>
  <c r="R69" i="6"/>
  <c r="Q69" i="6"/>
  <c r="Q68" i="6"/>
  <c r="Q67" i="6"/>
  <c r="Q66" i="6"/>
  <c r="Q65" i="6"/>
  <c r="R64" i="6"/>
  <c r="Q64" i="6"/>
  <c r="R63" i="6"/>
  <c r="Q63" i="6"/>
  <c r="Q62" i="6"/>
  <c r="Q61" i="6"/>
  <c r="Q60" i="6"/>
  <c r="Q59" i="6"/>
  <c r="R58" i="6"/>
  <c r="Q58" i="6"/>
  <c r="R57" i="6"/>
  <c r="Q57" i="6"/>
  <c r="Q56" i="6"/>
  <c r="Q55" i="6"/>
  <c r="Q54" i="6"/>
  <c r="Q53" i="6"/>
  <c r="R52" i="6"/>
  <c r="R53" i="6" s="1"/>
  <c r="Q52" i="6"/>
  <c r="R51" i="6"/>
  <c r="Q51" i="6"/>
  <c r="C48" i="6"/>
  <c r="C54" i="6"/>
  <c r="C60" i="6"/>
  <c r="C66" i="6"/>
  <c r="C78" i="6"/>
  <c r="C84" i="6"/>
  <c r="Q50" i="6"/>
  <c r="Q49" i="6"/>
  <c r="Q48" i="6"/>
  <c r="Q47" i="6"/>
  <c r="R46" i="6"/>
  <c r="R47" i="6" s="1"/>
  <c r="R48" i="6" s="1"/>
  <c r="Q46" i="6"/>
  <c r="R45" i="6"/>
  <c r="Q45" i="6"/>
  <c r="Q44" i="6"/>
  <c r="Q43" i="6"/>
  <c r="Q42" i="6"/>
  <c r="Q41" i="6"/>
  <c r="Q40" i="6"/>
  <c r="R39" i="6"/>
  <c r="R40" i="6" s="1"/>
  <c r="Q39" i="6"/>
  <c r="R38" i="6"/>
  <c r="Q38" i="6"/>
  <c r="Q37" i="6"/>
  <c r="Q36" i="6"/>
  <c r="Q35" i="6"/>
  <c r="Q34" i="6"/>
  <c r="Q33" i="6"/>
  <c r="R32" i="6"/>
  <c r="R33" i="6" s="1"/>
  <c r="R34" i="6" s="1"/>
  <c r="Q32" i="6"/>
  <c r="R31" i="6"/>
  <c r="Q31" i="6"/>
  <c r="Q30" i="6"/>
  <c r="Q29" i="6"/>
  <c r="Q28" i="6"/>
  <c r="Q27" i="6"/>
  <c r="Q26" i="6"/>
  <c r="R25" i="6"/>
  <c r="R26" i="6" s="1"/>
  <c r="R27" i="6" s="1"/>
  <c r="Q25" i="6"/>
  <c r="R24" i="6"/>
  <c r="Q24" i="6"/>
  <c r="Q23" i="6"/>
  <c r="Q22" i="6"/>
  <c r="Q21" i="6"/>
  <c r="Q20" i="6"/>
  <c r="Q19" i="6"/>
  <c r="R18" i="6"/>
  <c r="R19" i="6" s="1"/>
  <c r="R20" i="6" s="1"/>
  <c r="Q18" i="6"/>
  <c r="R17" i="6"/>
  <c r="Q17" i="6"/>
  <c r="C41" i="6"/>
  <c r="C42" i="6" s="1"/>
  <c r="C34" i="6"/>
  <c r="C35" i="6" s="1"/>
  <c r="C27" i="6"/>
  <c r="C28" i="6" s="1"/>
  <c r="C20" i="6"/>
  <c r="C21" i="6" s="1"/>
  <c r="P6" i="6"/>
  <c r="R7" i="6"/>
  <c r="R8" i="6" s="1"/>
  <c r="R9" i="6" s="1"/>
  <c r="R10" i="6"/>
  <c r="R11" i="6"/>
  <c r="R12" i="6" s="1"/>
  <c r="R13" i="6" s="1"/>
  <c r="R14" i="6" s="1"/>
  <c r="R15" i="6" s="1"/>
  <c r="R16" i="6" s="1"/>
  <c r="R6" i="6"/>
  <c r="Q7" i="6"/>
  <c r="Q8" i="6"/>
  <c r="Q9" i="6"/>
  <c r="Q10" i="6"/>
  <c r="Q11" i="6"/>
  <c r="Q12" i="6"/>
  <c r="Q13" i="6"/>
  <c r="Q14" i="6"/>
  <c r="Q15" i="6"/>
  <c r="Q16" i="6"/>
  <c r="Q6" i="6"/>
  <c r="C72" i="6"/>
  <c r="J6" i="34" l="1"/>
  <c r="P7" i="6"/>
  <c r="T6" i="6"/>
  <c r="E49" i="6"/>
  <c r="E85" i="6"/>
  <c r="E67" i="6"/>
  <c r="E61" i="6"/>
  <c r="E55" i="6"/>
  <c r="E43" i="6"/>
  <c r="E36" i="6"/>
  <c r="E29" i="6"/>
  <c r="E22" i="6"/>
  <c r="R84" i="6"/>
  <c r="R77" i="6"/>
  <c r="R72" i="6"/>
  <c r="R65" i="6"/>
  <c r="R59" i="6"/>
  <c r="R54" i="6"/>
  <c r="R49" i="6"/>
  <c r="R41" i="6"/>
  <c r="R35" i="6"/>
  <c r="R28" i="6"/>
  <c r="R21" i="6"/>
  <c r="A6" i="6"/>
  <c r="C14" i="11"/>
  <c r="I27" i="11"/>
  <c r="I83" i="11"/>
  <c r="I69" i="11"/>
  <c r="I55" i="11"/>
  <c r="H15" i="11"/>
  <c r="H12" i="11"/>
  <c r="F45" i="34" l="1"/>
  <c r="F47" i="34" s="1"/>
  <c r="G45" i="34"/>
  <c r="G47" i="34" s="1"/>
  <c r="H45" i="34"/>
  <c r="H47" i="34" s="1"/>
  <c r="I45" i="34"/>
  <c r="I47" i="34" s="1"/>
  <c r="K6" i="34"/>
  <c r="J45" i="34"/>
  <c r="J47" i="34" s="1"/>
  <c r="P8" i="6"/>
  <c r="T7" i="6"/>
  <c r="F27" i="11"/>
  <c r="J32" i="11" s="1"/>
  <c r="E40" i="34"/>
  <c r="E45" i="34" s="1"/>
  <c r="I41" i="11"/>
  <c r="R85" i="6"/>
  <c r="R78" i="6"/>
  <c r="R73" i="6"/>
  <c r="R66" i="6"/>
  <c r="R60" i="6"/>
  <c r="R55" i="6"/>
  <c r="R50" i="6"/>
  <c r="R42" i="6"/>
  <c r="R36" i="6"/>
  <c r="R29" i="6"/>
  <c r="R22" i="6"/>
  <c r="A7" i="6"/>
  <c r="H13" i="11"/>
  <c r="D14" i="25"/>
  <c r="D6" i="7" s="1"/>
  <c r="C13" i="25"/>
  <c r="L6" i="34" l="1"/>
  <c r="L45" i="34" s="1"/>
  <c r="L47" i="34" s="1"/>
  <c r="K45" i="34"/>
  <c r="K47" i="34" s="1"/>
  <c r="P9" i="6"/>
  <c r="T8" i="6"/>
  <c r="E43" i="32"/>
  <c r="E41" i="32" s="1"/>
  <c r="F41" i="11"/>
  <c r="H32" i="11"/>
  <c r="R86" i="6"/>
  <c r="R79" i="6"/>
  <c r="R74" i="6"/>
  <c r="R67" i="6"/>
  <c r="R61" i="6"/>
  <c r="R56" i="6"/>
  <c r="R43" i="6"/>
  <c r="R37" i="6"/>
  <c r="R30" i="6"/>
  <c r="R23" i="6"/>
  <c r="A8" i="6"/>
  <c r="P5" i="12"/>
  <c r="P10" i="6" l="1"/>
  <c r="T9" i="6"/>
  <c r="J46" i="11"/>
  <c r="H46" i="11" s="1"/>
  <c r="F55" i="11"/>
  <c r="R80" i="6"/>
  <c r="R68" i="6"/>
  <c r="R62" i="6"/>
  <c r="R44" i="6"/>
  <c r="A9" i="6"/>
  <c r="E17" i="12"/>
  <c r="D25" i="34"/>
  <c r="D32" i="34" s="1"/>
  <c r="D61" i="10"/>
  <c r="D24" i="10"/>
  <c r="P11" i="6" l="1"/>
  <c r="T10" i="6"/>
  <c r="A10" i="6"/>
  <c r="J60" i="11"/>
  <c r="H60" i="11" s="1"/>
  <c r="F69" i="11"/>
  <c r="F83" i="11" s="1"/>
  <c r="P12" i="6" l="1"/>
  <c r="A11" i="6"/>
  <c r="T11" i="6"/>
  <c r="J74" i="11"/>
  <c r="H74" i="11" s="1"/>
  <c r="J88" i="11"/>
  <c r="H88" i="11" s="1"/>
  <c r="F19" i="11"/>
  <c r="D11" i="11" s="1"/>
  <c r="E26" i="11"/>
  <c r="D33" i="12"/>
  <c r="E18" i="12"/>
  <c r="D16" i="12"/>
  <c r="P11" i="12"/>
  <c r="E89" i="11"/>
  <c r="E82" i="11"/>
  <c r="E75" i="11"/>
  <c r="E68" i="11"/>
  <c r="E19" i="11" s="1"/>
  <c r="C10" i="11" s="1"/>
  <c r="D68" i="11"/>
  <c r="E61" i="11"/>
  <c r="E54" i="11"/>
  <c r="D54" i="11"/>
  <c r="H48" i="11" s="1"/>
  <c r="E40" i="11"/>
  <c r="D40" i="11"/>
  <c r="H34" i="11" s="1"/>
  <c r="D26" i="11"/>
  <c r="H20" i="11" s="1"/>
  <c r="E67" i="10"/>
  <c r="D67" i="10"/>
  <c r="E66" i="10"/>
  <c r="D12" i="7" s="1"/>
  <c r="E9" i="34" s="1"/>
  <c r="D66" i="10"/>
  <c r="D65" i="10"/>
  <c r="E63" i="10"/>
  <c r="D63" i="10"/>
  <c r="E62" i="10"/>
  <c r="E25" i="34" s="1"/>
  <c r="E32" i="34" s="1"/>
  <c r="D58" i="10"/>
  <c r="E55" i="10" s="1"/>
  <c r="E58" i="10" s="1"/>
  <c r="D54" i="10"/>
  <c r="D48" i="10"/>
  <c r="E45" i="10" s="1"/>
  <c r="E48" i="10" s="1"/>
  <c r="D44" i="10"/>
  <c r="E41" i="10" s="1"/>
  <c r="E44" i="10" s="1"/>
  <c r="K41" i="10" s="1"/>
  <c r="K44" i="10" s="1"/>
  <c r="D38" i="10"/>
  <c r="E35" i="10" s="1"/>
  <c r="E38" i="10" s="1"/>
  <c r="D34" i="10"/>
  <c r="E31" i="10" s="1"/>
  <c r="E34" i="10" s="1"/>
  <c r="K31" i="10" s="1"/>
  <c r="K34" i="10" s="1"/>
  <c r="D28" i="10"/>
  <c r="E25" i="10" s="1"/>
  <c r="E28" i="10" s="1"/>
  <c r="E21" i="10"/>
  <c r="E24" i="10" s="1"/>
  <c r="K21" i="10" s="1"/>
  <c r="K24" i="10" s="1"/>
  <c r="D18" i="10"/>
  <c r="D14" i="10"/>
  <c r="D9" i="10"/>
  <c r="E24" i="33"/>
  <c r="E20" i="33"/>
  <c r="E9" i="6"/>
  <c r="D9" i="6"/>
  <c r="E15" i="6"/>
  <c r="C14" i="6"/>
  <c r="K55" i="10" l="1"/>
  <c r="K58" i="10" s="1"/>
  <c r="K45" i="10"/>
  <c r="K48" i="10" s="1"/>
  <c r="K35" i="10"/>
  <c r="K38" i="10" s="1"/>
  <c r="K25" i="10"/>
  <c r="K28" i="10" s="1"/>
  <c r="D51" i="32"/>
  <c r="D50" i="32" s="1"/>
  <c r="D49" i="32" s="1"/>
  <c r="D23" i="12"/>
  <c r="E16" i="12" s="1"/>
  <c r="E23" i="12" s="1"/>
  <c r="L21" i="10"/>
  <c r="L24" i="10" s="1"/>
  <c r="L31" i="10"/>
  <c r="L34" i="10" s="1"/>
  <c r="L41" i="10"/>
  <c r="L44" i="10" s="1"/>
  <c r="D59" i="10"/>
  <c r="D9" i="32" s="1"/>
  <c r="E6" i="10"/>
  <c r="E9" i="10" s="1"/>
  <c r="D11" i="32"/>
  <c r="P13" i="6"/>
  <c r="A12" i="6"/>
  <c r="T12" i="6"/>
  <c r="D20" i="33"/>
  <c r="D19" i="33" s="1"/>
  <c r="E55" i="32"/>
  <c r="E53" i="32" s="1"/>
  <c r="D10" i="33"/>
  <c r="E10" i="33"/>
  <c r="E19" i="33"/>
  <c r="H62" i="11"/>
  <c r="D19" i="11"/>
  <c r="D14" i="7"/>
  <c r="E17" i="33" s="1"/>
  <c r="E30" i="12"/>
  <c r="C12" i="7"/>
  <c r="C14" i="7" s="1"/>
  <c r="E7" i="6"/>
  <c r="E51" i="10"/>
  <c r="E54" i="10" s="1"/>
  <c r="D68" i="10"/>
  <c r="E15" i="10"/>
  <c r="D29" i="10"/>
  <c r="D64" i="10"/>
  <c r="E11" i="10"/>
  <c r="E29" i="10"/>
  <c r="D39" i="10"/>
  <c r="C8" i="11"/>
  <c r="D8" i="6"/>
  <c r="E8" i="6"/>
  <c r="D7" i="6"/>
  <c r="D8" i="33" s="1"/>
  <c r="E39" i="10"/>
  <c r="E49" i="10"/>
  <c r="D19" i="10"/>
  <c r="D49" i="10"/>
  <c r="K16" i="12" l="1"/>
  <c r="K23" i="12" s="1"/>
  <c r="L55" i="10"/>
  <c r="L45" i="10"/>
  <c r="L48" i="10" s="1"/>
  <c r="L35" i="10"/>
  <c r="L25" i="10"/>
  <c r="K6" i="10"/>
  <c r="K9" i="10" s="1"/>
  <c r="E33" i="12"/>
  <c r="E51" i="32" s="1"/>
  <c r="E50" i="32" s="1"/>
  <c r="E49" i="32" s="1"/>
  <c r="R11" i="12"/>
  <c r="E59" i="10"/>
  <c r="K51" i="10"/>
  <c r="K54" i="10" s="1"/>
  <c r="E16" i="33"/>
  <c r="D14" i="32"/>
  <c r="D13" i="32"/>
  <c r="D15" i="32"/>
  <c r="P14" i="6"/>
  <c r="T13" i="6"/>
  <c r="A13" i="6"/>
  <c r="D17" i="33"/>
  <c r="D16" i="33" s="1"/>
  <c r="D9" i="34"/>
  <c r="E8" i="33"/>
  <c r="E9" i="33"/>
  <c r="D9" i="33"/>
  <c r="D7" i="33" s="1"/>
  <c r="D12" i="32"/>
  <c r="D69" i="10"/>
  <c r="G39" i="32"/>
  <c r="D6" i="6"/>
  <c r="C23" i="23" s="1" a="1"/>
  <c r="C23" i="23" s="1"/>
  <c r="E61" i="10"/>
  <c r="E14" i="10"/>
  <c r="C6" i="11"/>
  <c r="E47" i="11"/>
  <c r="E6" i="6"/>
  <c r="E65" i="10"/>
  <c r="E18" i="10"/>
  <c r="K11" i="32" l="1"/>
  <c r="K10" i="32" s="1"/>
  <c r="K8" i="32" s="1"/>
  <c r="K69" i="10"/>
  <c r="K30" i="12"/>
  <c r="K33" i="12" s="1"/>
  <c r="L30" i="12" s="1"/>
  <c r="L33" i="12" s="1"/>
  <c r="L16" i="12"/>
  <c r="L23" i="12" s="1"/>
  <c r="L38" i="10"/>
  <c r="L28" i="10"/>
  <c r="L6" i="10"/>
  <c r="L9" i="10" s="1"/>
  <c r="K11" i="10"/>
  <c r="K14" i="10" s="1"/>
  <c r="L51" i="10"/>
  <c r="L54" i="10" s="1"/>
  <c r="K15" i="10"/>
  <c r="K18" i="10" s="1"/>
  <c r="F39" i="32"/>
  <c r="D10" i="32"/>
  <c r="D8" i="32" s="1"/>
  <c r="D31" i="32" s="1"/>
  <c r="D5" i="36" s="1"/>
  <c r="P15" i="6"/>
  <c r="T14" i="6"/>
  <c r="A14" i="6"/>
  <c r="E7" i="33"/>
  <c r="E25" i="33" s="1"/>
  <c r="E26" i="33" s="1"/>
  <c r="E27" i="33" s="1"/>
  <c r="D25" i="33"/>
  <c r="D27" i="33" s="1"/>
  <c r="D39" i="32" s="1"/>
  <c r="D38" i="32" s="1"/>
  <c r="E64" i="10"/>
  <c r="E68" i="10"/>
  <c r="E19" i="10"/>
  <c r="L69" i="10" l="1"/>
  <c r="L11" i="32"/>
  <c r="L10" i="32" s="1"/>
  <c r="L8" i="32" s="1"/>
  <c r="P16" i="6"/>
  <c r="A15" i="6"/>
  <c r="T15" i="6"/>
  <c r="D35" i="32"/>
  <c r="E40" i="32"/>
  <c r="E8" i="34"/>
  <c r="E23" i="34" s="1"/>
  <c r="E47" i="34" s="1"/>
  <c r="E6" i="36"/>
  <c r="E39" i="32"/>
  <c r="D8" i="34"/>
  <c r="D23" i="34" s="1"/>
  <c r="D47" i="34" s="1"/>
  <c r="D49" i="34" s="1"/>
  <c r="D6" i="36"/>
  <c r="D29" i="33"/>
  <c r="E69" i="10"/>
  <c r="E35" i="32" l="1"/>
  <c r="F35" i="32" s="1"/>
  <c r="G35" i="32" s="1"/>
  <c r="H35" i="32" s="1"/>
  <c r="I35" i="32" s="1"/>
  <c r="J35" i="32" s="1"/>
  <c r="K35" i="32" s="1"/>
  <c r="L35" i="32" s="1"/>
  <c r="L11" i="10"/>
  <c r="L14" i="10" s="1"/>
  <c r="L15" i="10"/>
  <c r="L18" i="10" s="1"/>
  <c r="D4" i="34"/>
  <c r="N30" i="32"/>
  <c r="P17" i="6"/>
  <c r="T16" i="6"/>
  <c r="A16" i="6"/>
  <c r="D34" i="32"/>
  <c r="D61" i="32" s="1"/>
  <c r="D2" i="32" s="1"/>
  <c r="E48" i="34"/>
  <c r="E49" i="34" s="1"/>
  <c r="N50" i="34"/>
  <c r="F48" i="34" l="1"/>
  <c r="F49" i="34" s="1"/>
  <c r="E29" i="32"/>
  <c r="E20" i="32" s="1"/>
  <c r="E31" i="32" s="1"/>
  <c r="D2" i="34"/>
  <c r="D2" i="33"/>
  <c r="E4" i="34"/>
  <c r="P18" i="6"/>
  <c r="A17" i="6"/>
  <c r="T17" i="6"/>
  <c r="G48" i="34" l="1"/>
  <c r="G49" i="34" s="1"/>
  <c r="G29" i="32" s="1"/>
  <c r="F29" i="32"/>
  <c r="F4" i="34"/>
  <c r="P19" i="6"/>
  <c r="A18" i="6"/>
  <c r="T18" i="6"/>
  <c r="N45" i="32"/>
  <c r="H48" i="34" l="1"/>
  <c r="H49" i="34" s="1"/>
  <c r="H29" i="32" s="1"/>
  <c r="G4" i="34"/>
  <c r="P20" i="6"/>
  <c r="A19" i="6"/>
  <c r="T19" i="6"/>
  <c r="I48" i="34" l="1"/>
  <c r="I49" i="34" s="1"/>
  <c r="I29" i="32" s="1"/>
  <c r="I20" i="32" s="1"/>
  <c r="I31" i="32" s="1"/>
  <c r="I5" i="36" s="1"/>
  <c r="H4" i="34"/>
  <c r="P21" i="6"/>
  <c r="A20" i="6"/>
  <c r="T20" i="6"/>
  <c r="I4" i="34" l="1"/>
  <c r="J48" i="34"/>
  <c r="J49" i="34" s="1"/>
  <c r="J29" i="32" s="1"/>
  <c r="F20" i="32"/>
  <c r="F31" i="32" s="1"/>
  <c r="F5" i="36" s="1"/>
  <c r="J4" i="34"/>
  <c r="P22" i="6"/>
  <c r="T21" i="6"/>
  <c r="A21" i="6"/>
  <c r="K48" i="34" l="1"/>
  <c r="K49" i="34" s="1"/>
  <c r="K29" i="32" s="1"/>
  <c r="K20" i="32" s="1"/>
  <c r="K31" i="32" s="1"/>
  <c r="K5" i="36" s="1"/>
  <c r="G20" i="32"/>
  <c r="G31" i="32" s="1"/>
  <c r="G5" i="36" s="1"/>
  <c r="P23" i="6"/>
  <c r="T22" i="6"/>
  <c r="A22" i="6"/>
  <c r="K4" i="34" l="1"/>
  <c r="L48" i="34"/>
  <c r="L49" i="34" s="1"/>
  <c r="L29" i="32" s="1"/>
  <c r="L20" i="32" s="1"/>
  <c r="L31" i="32" s="1"/>
  <c r="L5" i="36" s="1"/>
  <c r="H20" i="32"/>
  <c r="H31" i="32" s="1"/>
  <c r="H5" i="36" s="1"/>
  <c r="P24" i="6"/>
  <c r="A23" i="6"/>
  <c r="T23" i="6"/>
  <c r="L4" i="34" l="1"/>
  <c r="P25" i="6"/>
  <c r="T24" i="6"/>
  <c r="A24" i="6"/>
  <c r="A25" i="6" l="1"/>
  <c r="T25" i="6"/>
  <c r="P26" i="6"/>
  <c r="P27" i="6" l="1"/>
  <c r="A26" i="6"/>
  <c r="T26" i="6"/>
  <c r="P28" i="6" l="1"/>
  <c r="A27" i="6"/>
  <c r="T27" i="6"/>
  <c r="P29" i="6" l="1"/>
  <c r="A28" i="6"/>
  <c r="T28" i="6"/>
  <c r="P30" i="6" l="1"/>
  <c r="T29" i="6"/>
  <c r="A29" i="6"/>
  <c r="P31" i="6" l="1"/>
  <c r="T30" i="6"/>
  <c r="A30" i="6"/>
  <c r="P32" i="6" l="1"/>
  <c r="A31" i="6"/>
  <c r="T31" i="6"/>
  <c r="T32" i="6" l="1"/>
  <c r="A32" i="6"/>
  <c r="P33" i="6"/>
  <c r="A33" i="6" l="1"/>
  <c r="T33" i="6"/>
  <c r="P34" i="6"/>
  <c r="T34" i="6" l="1"/>
  <c r="A34" i="6"/>
  <c r="P35" i="6"/>
  <c r="A35" i="6" l="1"/>
  <c r="T35" i="6"/>
  <c r="P36" i="6"/>
  <c r="A36" i="6" l="1"/>
  <c r="T36" i="6"/>
  <c r="P37" i="6"/>
  <c r="T37" i="6" l="1"/>
  <c r="A37" i="6"/>
  <c r="P38" i="6"/>
  <c r="T38" i="6" l="1"/>
  <c r="A38" i="6"/>
  <c r="P39" i="6"/>
  <c r="A39" i="6" l="1"/>
  <c r="T39" i="6"/>
  <c r="P40" i="6"/>
  <c r="T40" i="6" l="1"/>
  <c r="A40" i="6"/>
  <c r="P41" i="6"/>
  <c r="A41" i="6" l="1"/>
  <c r="T41" i="6"/>
  <c r="P42" i="6"/>
  <c r="A42" i="6" l="1"/>
  <c r="T42" i="6"/>
  <c r="P43" i="6"/>
  <c r="A43" i="6" l="1"/>
  <c r="T43" i="6"/>
  <c r="P44" i="6"/>
  <c r="E38" i="32"/>
  <c r="F40" i="32" l="1"/>
  <c r="F38" i="32" s="1"/>
  <c r="F34" i="32" s="1"/>
  <c r="F61" i="32" s="1"/>
  <c r="F2" i="32" s="1"/>
  <c r="E34" i="32"/>
  <c r="E61" i="32"/>
  <c r="A44" i="6"/>
  <c r="T44" i="6"/>
  <c r="P45" i="6"/>
  <c r="G40" i="32" l="1"/>
  <c r="G38" i="32" s="1"/>
  <c r="H40" i="32" s="1"/>
  <c r="H38" i="32" s="1"/>
  <c r="F2" i="33"/>
  <c r="F2" i="34"/>
  <c r="T45" i="6"/>
  <c r="A45" i="6"/>
  <c r="P46" i="6"/>
  <c r="G34" i="32" l="1"/>
  <c r="G61" i="32" s="1"/>
  <c r="G2" i="32" s="1"/>
  <c r="G2" i="33" s="1"/>
  <c r="I40" i="32"/>
  <c r="I38" i="32" s="1"/>
  <c r="H34" i="32"/>
  <c r="H61" i="32" s="1"/>
  <c r="H2" i="32" s="1"/>
  <c r="T46" i="6"/>
  <c r="A46" i="6"/>
  <c r="P47" i="6"/>
  <c r="G2" i="34" l="1"/>
  <c r="H2" i="33"/>
  <c r="H2" i="34"/>
  <c r="J40" i="32"/>
  <c r="J38" i="32" s="1"/>
  <c r="I34" i="32"/>
  <c r="I61" i="32" s="1"/>
  <c r="I2" i="32" s="1"/>
  <c r="A47" i="6"/>
  <c r="T47" i="6"/>
  <c r="P48" i="6"/>
  <c r="I2" i="33" l="1"/>
  <c r="I2" i="34"/>
  <c r="K40" i="32"/>
  <c r="K38" i="32" s="1"/>
  <c r="J34" i="32"/>
  <c r="J61" i="32" s="1"/>
  <c r="T48" i="6"/>
  <c r="A48" i="6"/>
  <c r="P49" i="6"/>
  <c r="K34" i="32" l="1"/>
  <c r="K61" i="32" s="1"/>
  <c r="L40" i="32"/>
  <c r="L38" i="32" s="1"/>
  <c r="L34" i="32" s="1"/>
  <c r="A49" i="6"/>
  <c r="T49" i="6"/>
  <c r="P50" i="6"/>
  <c r="L61" i="32" l="1"/>
  <c r="L2" i="32" s="1"/>
  <c r="T50" i="6"/>
  <c r="A50" i="6"/>
  <c r="P51" i="6"/>
  <c r="L2" i="33" l="1"/>
  <c r="L2" i="34"/>
  <c r="A51" i="6"/>
  <c r="T51" i="6"/>
  <c r="P52" i="6"/>
  <c r="A52" i="6" l="1"/>
  <c r="T52" i="6"/>
  <c r="P53" i="6"/>
  <c r="T53" i="6" l="1"/>
  <c r="A53" i="6"/>
  <c r="P54" i="6"/>
  <c r="T54" i="6" l="1"/>
  <c r="A54" i="6"/>
  <c r="P55" i="6"/>
  <c r="A55" i="6" l="1"/>
  <c r="T55" i="6"/>
  <c r="P56" i="6"/>
  <c r="T56" i="6" l="1"/>
  <c r="A56" i="6"/>
  <c r="P57" i="6"/>
  <c r="A57" i="6" l="1"/>
  <c r="T57" i="6"/>
  <c r="P58" i="6"/>
  <c r="T58" i="6" l="1"/>
  <c r="A58" i="6"/>
  <c r="P59" i="6"/>
  <c r="A59" i="6" l="1"/>
  <c r="T59" i="6"/>
  <c r="P60" i="6"/>
  <c r="A60" i="6" l="1"/>
  <c r="T60" i="6"/>
  <c r="P61" i="6"/>
  <c r="T61" i="6" l="1"/>
  <c r="A61" i="6"/>
  <c r="P62" i="6"/>
  <c r="T62" i="6" l="1"/>
  <c r="A62" i="6"/>
  <c r="P63" i="6"/>
  <c r="T63" i="6" l="1"/>
  <c r="A63" i="6"/>
  <c r="P64" i="6"/>
  <c r="T64" i="6" l="1"/>
  <c r="A64" i="6"/>
  <c r="P65" i="6"/>
  <c r="A65" i="6" l="1"/>
  <c r="T65" i="6"/>
  <c r="P66" i="6"/>
  <c r="E33" i="11"/>
  <c r="C7" i="11"/>
  <c r="A66" i="6" l="1"/>
  <c r="T66" i="6"/>
  <c r="P67" i="6"/>
  <c r="C5" i="11"/>
  <c r="A67" i="6" l="1"/>
  <c r="T67" i="6"/>
  <c r="P68" i="6"/>
  <c r="C9" i="11"/>
  <c r="A68" i="6" l="1"/>
  <c r="T68" i="6"/>
  <c r="P69" i="6"/>
  <c r="D2" i="10"/>
  <c r="E2" i="10"/>
  <c r="T69" i="6" l="1"/>
  <c r="A69" i="6"/>
  <c r="P70" i="6"/>
  <c r="N2" i="10"/>
  <c r="N3" i="10"/>
  <c r="T70" i="6" l="1"/>
  <c r="A70" i="6"/>
  <c r="P71" i="6"/>
  <c r="T71" i="6" l="1"/>
  <c r="A71" i="6"/>
  <c r="P72" i="6"/>
  <c r="T72" i="6" l="1"/>
  <c r="A72" i="6"/>
  <c r="P73" i="6"/>
  <c r="A73" i="6" l="1"/>
  <c r="T73" i="6"/>
  <c r="P74" i="6"/>
  <c r="A74" i="6" l="1"/>
  <c r="T74" i="6"/>
  <c r="P75" i="6"/>
  <c r="A75" i="6" l="1"/>
  <c r="T75" i="6"/>
  <c r="P76" i="6"/>
  <c r="A76" i="6" l="1"/>
  <c r="T76" i="6"/>
  <c r="P77" i="6"/>
  <c r="T77" i="6" l="1"/>
  <c r="A77" i="6"/>
  <c r="P78" i="6"/>
  <c r="T78" i="6" l="1"/>
  <c r="A78" i="6"/>
  <c r="P79" i="6"/>
  <c r="T79" i="6" l="1"/>
  <c r="A79" i="6"/>
  <c r="P80" i="6"/>
  <c r="T80" i="6" l="1"/>
  <c r="A80" i="6"/>
  <c r="P81" i="6"/>
  <c r="A81" i="6" l="1"/>
  <c r="T81" i="6"/>
  <c r="P82" i="6"/>
  <c r="T82" i="6" l="1"/>
  <c r="A82" i="6"/>
  <c r="P83" i="6"/>
  <c r="A83" i="6" l="1"/>
  <c r="T83" i="6"/>
  <c r="P84" i="6"/>
  <c r="A84" i="6" l="1"/>
  <c r="T84" i="6"/>
  <c r="P85" i="6"/>
  <c r="E5" i="36"/>
  <c r="T85" i="6" l="1"/>
  <c r="A85" i="6"/>
  <c r="P86" i="6"/>
  <c r="E2" i="32"/>
  <c r="E2" i="33" s="1"/>
  <c r="T86" i="6" l="1"/>
  <c r="A86" i="6"/>
  <c r="E2" i="34"/>
  <c r="K2" i="32" l="1"/>
  <c r="K2" i="33" l="1"/>
  <c r="K2" i="34"/>
  <c r="N49" i="34" l="1"/>
  <c r="J20" i="32" s="1"/>
  <c r="J31" i="32" s="1"/>
  <c r="J2" i="32" l="1"/>
  <c r="J2" i="33" s="1"/>
  <c r="J5" i="36"/>
  <c r="N29" i="32"/>
  <c r="N2" i="32" l="1"/>
  <c r="J2" i="34"/>
  <c r="N2" i="34" s="1"/>
  <c r="N2" i="33"/>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<sst xmlns="http://schemas.openxmlformats.org/spreadsheetml/2006/main" count="1421" uniqueCount="930">
  <si>
    <t>1.</t>
  </si>
  <si>
    <t>1.1.</t>
  </si>
  <si>
    <t>1.1.1.</t>
  </si>
  <si>
    <t>1.2.</t>
  </si>
  <si>
    <t>TURINYS</t>
  </si>
  <si>
    <t>INFORMACIJA APIE ŪKIO SUBJEKTO EKONOMINIO GYVYBINGUMO RODIKLIUS</t>
  </si>
  <si>
    <t>2.</t>
  </si>
  <si>
    <t>3.</t>
  </si>
  <si>
    <t>5.</t>
  </si>
  <si>
    <t>Reikšmės</t>
  </si>
  <si>
    <t>Matavimo vnt.</t>
  </si>
  <si>
    <t>Prognoziniai metai</t>
  </si>
  <si>
    <t>5.1</t>
  </si>
  <si>
    <t>Pajamos iš viso</t>
  </si>
  <si>
    <t>Eur</t>
  </si>
  <si>
    <t>5.2</t>
  </si>
  <si>
    <t>Pagamintas kiekis</t>
  </si>
  <si>
    <t>Parduotas kiekis</t>
  </si>
  <si>
    <t>Vidutinė kaina</t>
  </si>
  <si>
    <t>vnt.</t>
  </si>
  <si>
    <t>6.</t>
  </si>
  <si>
    <t>Eil. Nr.</t>
  </si>
  <si>
    <t>Sąnaudos</t>
  </si>
  <si>
    <t>Pardavimo savikaina:</t>
  </si>
  <si>
    <t>Darbo užmokesčio sąnaudos</t>
  </si>
  <si>
    <t>Priskaičiuotas ilgalaikio turto nusidėvėjimas</t>
  </si>
  <si>
    <t>ES paramos amortizacija (rašoma su neigiamu ženklu)</t>
  </si>
  <si>
    <t>Pardavimo savikaina iš viso</t>
  </si>
  <si>
    <t>Pardavimo sąnaudos:</t>
  </si>
  <si>
    <t>Pardavimo sąnaudos iš viso</t>
  </si>
  <si>
    <t>Bendrosios ir administracinės sąnaudos, iš jų:</t>
  </si>
  <si>
    <t>Negamybinės paskirties ilgalaikio turto nusidėvėjimo sąnaudos</t>
  </si>
  <si>
    <t>Bendrosios ir administracinės sąnaudos iš viso</t>
  </si>
  <si>
    <t>7.</t>
  </si>
  <si>
    <t>Eil.
Nr.</t>
  </si>
  <si>
    <t>8.</t>
  </si>
  <si>
    <t>Iš viso</t>
  </si>
  <si>
    <t xml:space="preserve">INFORMACIJA APIE PAJAMAS, PRODUKTŲ IR PASLAUGŲ PARDAVIMUS, GAMYBĄ </t>
  </si>
  <si>
    <t>Pastatai ir statiniai</t>
  </si>
  <si>
    <t>Transporto priemonės</t>
  </si>
  <si>
    <t>Paramos suma, Eur</t>
  </si>
  <si>
    <t>I etapas</t>
  </si>
  <si>
    <t>II etapas</t>
  </si>
  <si>
    <t>Straipsnis</t>
  </si>
  <si>
    <t>Turto vertė metų pradžioje</t>
  </si>
  <si>
    <t>Įsigyta per metus</t>
  </si>
  <si>
    <t>Parduota per metus</t>
  </si>
  <si>
    <t>Turto pradinė vertė metų pradžioje</t>
  </si>
  <si>
    <t>Pardavimai, nurašymai per metus</t>
  </si>
  <si>
    <t>Turto pradinė vertė metų pabaigoje</t>
  </si>
  <si>
    <t>Sukauptas nusidėvėjimas metų pradžioje</t>
  </si>
  <si>
    <t>Priskaičiuota</t>
  </si>
  <si>
    <t>Nurašyto turto nusidėvėjimas</t>
  </si>
  <si>
    <t>Sukauptas nusidėvėjimas metų pabaigoje</t>
  </si>
  <si>
    <t>Turto likutinė vertė metų pabaigoje</t>
  </si>
  <si>
    <t>Mašinos ir įrengimai</t>
  </si>
  <si>
    <t>Kiti įrenginiai, prietaisai ir įrankiai</t>
  </si>
  <si>
    <t>Nematerialusis turtas</t>
  </si>
  <si>
    <t>9.</t>
  </si>
  <si>
    <t>Suma, Eur</t>
  </si>
  <si>
    <t>Pareiškėjo lėšos</t>
  </si>
  <si>
    <t>Grąžintinas PVM</t>
  </si>
  <si>
    <t>Paskola (lizingas)</t>
  </si>
  <si>
    <t>Paramos lėšos</t>
  </si>
  <si>
    <t>Investicijų vertė su PVM</t>
  </si>
  <si>
    <t>Investicijų įgyvendinimo ir paramos išmokėjimo planas</t>
  </si>
  <si>
    <t>Investicijos pavadinimas</t>
  </si>
  <si>
    <t>Investicijų suma be PVM, Eur</t>
  </si>
  <si>
    <t>Investicijų suma su PVM, Eur</t>
  </si>
  <si>
    <t>IŠ VISO</t>
  </si>
  <si>
    <t>Iš viso finansavimo šaltinių</t>
  </si>
  <si>
    <t>III etapas</t>
  </si>
  <si>
    <t>IV etapas</t>
  </si>
  <si>
    <t>V etapas</t>
  </si>
  <si>
    <t>Paskolos ir (arba) lizingo davėjas (bankas ar kt.)</t>
  </si>
  <si>
    <t>Palūkanų norma, proc.</t>
  </si>
  <si>
    <t>Rodikliai</t>
  </si>
  <si>
    <t>Paskolų likutis laikotarpio pradžioje:</t>
  </si>
  <si>
    <t>Ilgalaikė paskola</t>
  </si>
  <si>
    <t>Trumpalaikė paskola</t>
  </si>
  <si>
    <t>Trumpalaikės paskolos paėmimas</t>
  </si>
  <si>
    <t>Trumpalaikės paskolos grąžinimas</t>
  </si>
  <si>
    <t>Paskolų likutis laikotarpio pabaigoje</t>
  </si>
  <si>
    <t>Paskolų palūkanų mokėjimas</t>
  </si>
  <si>
    <t>Nesumokėtos išperkamosios nuomos dalis laikotarpio pradžioje</t>
  </si>
  <si>
    <t>Sumokėta išperkamosios nuomos dalis</t>
  </si>
  <si>
    <t>Nesumokėtos išperkamosios nuomos dalis laikotarpio pabaigoje</t>
  </si>
  <si>
    <t>Išperkamosios nuomos palūkanų mokėjimas</t>
  </si>
  <si>
    <t>FINANSINĖS ATASKAITOS</t>
  </si>
  <si>
    <t>Balanso lygybės patikrinimas</t>
  </si>
  <si>
    <t>Balanso prognozės</t>
  </si>
  <si>
    <t>TURTAS</t>
  </si>
  <si>
    <t>A.</t>
  </si>
  <si>
    <t>ILGALAIKIS TURTAS</t>
  </si>
  <si>
    <t>NEMATERIALUSIS TURTAS</t>
  </si>
  <si>
    <t>MATERIALUSIS TURTAS</t>
  </si>
  <si>
    <t>Žemė</t>
  </si>
  <si>
    <t>FINANSINIS TURTAS</t>
  </si>
  <si>
    <t>4.</t>
  </si>
  <si>
    <t>KITAS ILGALAIKIS TURTAS</t>
  </si>
  <si>
    <t>B.</t>
  </si>
  <si>
    <t>TRUMPALAIKIS TURTAS</t>
  </si>
  <si>
    <t>ATSARGOS</t>
  </si>
  <si>
    <t>PER VIENUS METUS GAUTINOS SUMOS</t>
  </si>
  <si>
    <t>Pirkėjų skolos</t>
  </si>
  <si>
    <t>Kitos gautinos sumos</t>
  </si>
  <si>
    <t>TRUMPALAIKĖS INVESTICIJOS</t>
  </si>
  <si>
    <t>PINIGAI IR PINIGŲ EKVIVALENTAI</t>
  </si>
  <si>
    <t>C.</t>
  </si>
  <si>
    <t>ATEINANČIŲ LAIKOTARPIŲ SĄNAUDOS IR SUKAUPTOS PAJAMOS</t>
  </si>
  <si>
    <t>TURTO IŠ VISO</t>
  </si>
  <si>
    <t>NUOSAVAS KAPITALAS IR ĮSIPAREIGOJIMAI</t>
  </si>
  <si>
    <t>D.</t>
  </si>
  <si>
    <t>NUOSAVAS KAPITALAS</t>
  </si>
  <si>
    <t>KAPITALAS</t>
  </si>
  <si>
    <t>PERKAINOJIMO REZERVAS</t>
  </si>
  <si>
    <t>REZERVAI</t>
  </si>
  <si>
    <t>E.</t>
  </si>
  <si>
    <t>G.</t>
  </si>
  <si>
    <t>MOKĖTINOS SUMOS IR ĮSIPAREIGOJIMAI</t>
  </si>
  <si>
    <t>Skolos tiekėjams</t>
  </si>
  <si>
    <t>Su darbo santykiais susiję įsipareigojimai</t>
  </si>
  <si>
    <t>H.</t>
  </si>
  <si>
    <t>SUKAUPTOS SĄNAUDOS IR ATEINANČIŲ LAIKOTARPIŲ PAJAMOS</t>
  </si>
  <si>
    <t>Pelno (nuostolių) prognozės</t>
  </si>
  <si>
    <t>10.</t>
  </si>
  <si>
    <t>Pinigų srautų prognozės</t>
  </si>
  <si>
    <t>Pagrindinės veiklos pinigų srautai</t>
  </si>
  <si>
    <t>Grynasis pelnas (nuostoliai)</t>
  </si>
  <si>
    <t>Nusidėvėjimo ir amortizacijos sąnaudos</t>
  </si>
  <si>
    <t>Ilgalaikio materialiojo ir nematerialiojo turto perleidimo rezultatų eliminavimas</t>
  </si>
  <si>
    <t>Finansinės ir investicinės veiklos rezultatų eliminavimas</t>
  </si>
  <si>
    <t>Atsargų, išskyrus sumokėtus avansus, sumažėjimas (padidėjimas)</t>
  </si>
  <si>
    <t>Sumokėtų avansų sumažėjimas (padidėjimas)</t>
  </si>
  <si>
    <t>Pirkėjų skolų sumažėjimas (padidėjimas)</t>
  </si>
  <si>
    <t>Kitų gautinų sumų sumažėjimas (padidėjimas)</t>
  </si>
  <si>
    <t>Trumpalaikių investicijų sumažėjimas (padidėjimas)</t>
  </si>
  <si>
    <t>Ateinančių laikotarpių sąnaudų ir sukauptų pajamų sumažėjimas (padidėjimas)</t>
  </si>
  <si>
    <t>Trumpalaikių skolų tiekėjams ir gautų avansų padidėjimas (sumažėjimas)</t>
  </si>
  <si>
    <t>Su darbo santykiais susijusių įsipareigojimų padidėjimas (sumažėjimas)</t>
  </si>
  <si>
    <t>Kitų mokėtinų sumų ir įsipareigojimų padidėjimas (sumažėjimas)</t>
  </si>
  <si>
    <t>Sukauptų sąnaudų ir ateinančių laikotarpių pajamų padidėjimas (sumažėjimas)</t>
  </si>
  <si>
    <t>Grynieji pagrindinės veiklos pinigų srautai</t>
  </si>
  <si>
    <t>Investicinės veiklos pinigų srautai</t>
  </si>
  <si>
    <t>Gauti dividendai, palūkanos</t>
  </si>
  <si>
    <t>Kitas investicinės veiklos pinigų srautų padidėjimas</t>
  </si>
  <si>
    <t>Kitas investicinės veiklos pinigų srautų sumažėjimas</t>
  </si>
  <si>
    <t>Grynieji investicinės veiklos pinigų srautai</t>
  </si>
  <si>
    <t>Finansinės veiklos pinigų srautai</t>
  </si>
  <si>
    <t>Sumokėtos palūkanos</t>
  </si>
  <si>
    <t>Kitų įmonės įsipareigojimų padidėjimas</t>
  </si>
  <si>
    <t>Kitų įmonės įsipareigojimų sumažėjimas</t>
  </si>
  <si>
    <t>Grynieji finansinės veiklos pinigų srautai</t>
  </si>
  <si>
    <t>Valiutų kursų pokyčio įtaka grynųjų pinigų ir pinigų ekvivalentų likučiui</t>
  </si>
  <si>
    <t>Grynasis pinigų srautų padidėjimas (sumažėjimas)</t>
  </si>
  <si>
    <t>Pinigai ir pinigų ekvivalentai laikotarpio pradžioje</t>
  </si>
  <si>
    <t>Pinigai ir pinigų ekvivalentai laikotarpio pabaigoje</t>
  </si>
  <si>
    <t>Praėjusieji ataskaitiniai metai</t>
  </si>
  <si>
    <t>Paskolų padengimo</t>
  </si>
  <si>
    <t>Skolos</t>
  </si>
  <si>
    <t>Grynasis pelningumas</t>
  </si>
  <si>
    <t>BENDROJI INFORMACIJA</t>
  </si>
  <si>
    <t>Informacija apie planuojamo verslo rūšį</t>
  </si>
  <si>
    <t>Planuojamo verslo rūšis pagal pareiškėją</t>
  </si>
  <si>
    <t xml:space="preserve"> –</t>
  </si>
  <si>
    <t>1.1.2.</t>
  </si>
  <si>
    <t>Planuojamo verslo rūšis pagal verslo vykdymo laiką</t>
  </si>
  <si>
    <t>1.1.3.</t>
  </si>
  <si>
    <t>Planuojamo verslo rūšis pagal sektorių</t>
  </si>
  <si>
    <t>1.2.1.</t>
  </si>
  <si>
    <t>1.2.2.</t>
  </si>
  <si>
    <t>Pagrindinės verslo tikslinės grupės – potencialių klientų gyvenamoji arba buveinės vieta</t>
  </si>
  <si>
    <t>Informacija apie verslo plano įgyvendinimą</t>
  </si>
  <si>
    <t>Galutinė paraiškos pateikimo diena</t>
  </si>
  <si>
    <t>Einamojo likvidumo rodiklis</t>
  </si>
  <si>
    <t>Iš gamybos</t>
  </si>
  <si>
    <t>Iš paslaugų</t>
  </si>
  <si>
    <t>val.</t>
  </si>
  <si>
    <t>Iš kitos veiklos</t>
  </si>
  <si>
    <t>Kritinės reikšmės</t>
  </si>
  <si>
    <t>Pareiškėjas – ūkio subjektas pagal teisinę formą</t>
  </si>
  <si>
    <t>2.1.</t>
  </si>
  <si>
    <t>2.2.</t>
  </si>
  <si>
    <t>3.1.</t>
  </si>
  <si>
    <t>Pagrindinės verslo tikslinės grupės – potencialių klientų vidutinės mėnesinės pajamos, atsižvelgiant į gaminamų prekių ir (arba) planuojamų teikti paslaugų pobūdį</t>
  </si>
  <si>
    <t>Mažesnės arba lygios nacionaliniam minimaliam darbo užmokesčiui.</t>
  </si>
  <si>
    <t>Mažesnės už nacionalinį vidutinį darbo užmokestį, tačiau didesnės už minimalų vidutinį darbo užmokestį;</t>
  </si>
  <si>
    <t>Didesnės arba lygios nacionaliniam vidutiniam darbo užmokesčiui;</t>
  </si>
  <si>
    <t>Neturi verslo vykdymo patirties</t>
  </si>
  <si>
    <t>Turi verslo vykdymo patirties</t>
  </si>
  <si>
    <t>Pareiškėjas – ūkio subjektas pagal verslo vykdymo patirtį</t>
  </si>
  <si>
    <r>
      <t>Pareiškėjas ir (arba) su juo susiję ūkio subjektai,</t>
    </r>
    <r>
      <rPr>
        <b/>
        <sz val="11"/>
        <color theme="1"/>
        <rFont val="Calibri"/>
        <family val="2"/>
        <charset val="186"/>
        <scheme val="minor"/>
      </rPr>
      <t xml:space="preserve"> </t>
    </r>
    <r>
      <rPr>
        <sz val="11"/>
        <color theme="1"/>
        <rFont val="Calibri"/>
        <family val="2"/>
        <charset val="186"/>
        <scheme val="minor"/>
      </rPr>
      <t>gavę ES ir valstybės paramos per paskutinius trejus mokestinius metus</t>
    </r>
  </si>
  <si>
    <r>
      <t>Pareiškėjas ir su juo susiję ūkio subjektai,</t>
    </r>
    <r>
      <rPr>
        <b/>
        <sz val="11"/>
        <color theme="1"/>
        <rFont val="Calibri"/>
        <family val="2"/>
        <charset val="186"/>
        <scheme val="minor"/>
      </rPr>
      <t xml:space="preserve"> </t>
    </r>
    <r>
      <rPr>
        <sz val="11"/>
        <color theme="1"/>
        <rFont val="Calibri"/>
        <family val="2"/>
        <charset val="186"/>
        <scheme val="minor"/>
      </rPr>
      <t>negavę ES ir valstybės paramos per paskutinius trejus mokestinius metus</t>
    </r>
  </si>
  <si>
    <t>ES finansavimo gavimas 2</t>
  </si>
  <si>
    <t>Gavęs ES ir valstybės paramą per paskutinius trejus mokestinius metus</t>
  </si>
  <si>
    <t>Negavęs ES ir valstybės paramos per paskutinius trejus mokestinius metus</t>
  </si>
  <si>
    <t>ES finansavimo gavimas 1</t>
  </si>
  <si>
    <t>Vidutinė įmonė</t>
  </si>
  <si>
    <t>Maža įmonė</t>
  </si>
  <si>
    <t>Labai maža įmonė</t>
  </si>
  <si>
    <t>Įmonės dydis</t>
  </si>
  <si>
    <t>Susijęs su kitais ūkio subjektais</t>
  </si>
  <si>
    <t>Savarankiškas ūkio subjektas</t>
  </si>
  <si>
    <t>Pareiškėjas – ūkio subjektas pagal savarankiškumą</t>
  </si>
  <si>
    <t>Kita:</t>
  </si>
  <si>
    <t>Ūkininkas</t>
  </si>
  <si>
    <t>Fizinis asmuo, veikiantis pagal individualios veiklos pažymą</t>
  </si>
  <si>
    <t>Individuali įmonė</t>
  </si>
  <si>
    <t>Mažoji bendrija</t>
  </si>
  <si>
    <t>Uždaroji akcinė bendrovė</t>
  </si>
  <si>
    <r>
      <t>K</t>
    </r>
    <r>
      <rPr>
        <sz val="11"/>
        <color theme="1"/>
        <rFont val="Calibri"/>
        <family val="2"/>
        <charset val="186"/>
        <scheme val="minor"/>
      </rPr>
      <t>ita:</t>
    </r>
  </si>
  <si>
    <r>
      <t>V</t>
    </r>
    <r>
      <rPr>
        <sz val="11"/>
        <color theme="1"/>
        <rFont val="Calibri"/>
        <family val="2"/>
        <charset val="186"/>
        <scheme val="minor"/>
      </rPr>
      <t>isa ES teritorija</t>
    </r>
  </si>
  <si>
    <r>
      <t>D</t>
    </r>
    <r>
      <rPr>
        <sz val="11"/>
        <color theme="1"/>
        <rFont val="Calibri"/>
        <family val="2"/>
        <charset val="186"/>
        <scheme val="minor"/>
      </rPr>
      <t>alis ES teritorijos</t>
    </r>
  </si>
  <si>
    <t>Visa Lietuvos Respublikos teritorija</t>
  </si>
  <si>
    <t>Dalis Lietuvos Respublikos teritorijos</t>
  </si>
  <si>
    <t>visa VVG teritorija</t>
  </si>
  <si>
    <t>VVG teritorijos dalis</t>
  </si>
  <si>
    <t>Žemės ūkio verslas</t>
  </si>
  <si>
    <t>Ne žemės ūkio verslas</t>
  </si>
  <si>
    <t>Verslo plėtra</t>
  </si>
  <si>
    <t>Verslo pradžia</t>
  </si>
  <si>
    <t>3.1.1.</t>
  </si>
  <si>
    <t>Data</t>
  </si>
  <si>
    <t>Vieta</t>
  </si>
  <si>
    <t>Pastabos</t>
  </si>
  <si>
    <t>Vietos projekto vykdytojo pavadinimas</t>
  </si>
  <si>
    <t>Ilgiausia projekto įgyvendinimo trukmė, mėn.</t>
  </si>
  <si>
    <t>Projekto įgyvendinimo trukmė, mėn.</t>
  </si>
  <si>
    <t>Ekonominio gyvybingumo rodikliai</t>
  </si>
  <si>
    <t>Parametrai</t>
  </si>
  <si>
    <t>Kontrolės laikotarpio trukmė po verslo plano įgyvendinimo, m.</t>
  </si>
  <si>
    <t>Projekto įgyvendinimo pabaiga</t>
  </si>
  <si>
    <t>Projekto įgyvendinimo pradžia</t>
  </si>
  <si>
    <t>Galutinė projekto įgyvendinimo data</t>
  </si>
  <si>
    <t>Rinkos situacija</t>
  </si>
  <si>
    <t>Pagal Vidutinio metų sąrašinio darbuotojų skaičiaus apskaičiavimo metodiką, nustatytą Smulkiojo ir vidutinio verslo subjekto vidutinio metų sąrašinio darbuotojų skaičiaus nustatymo tvarkos apraše, patvirtintame Lietuvos Respublikos ūkio ministro 2008 m. kovo 31 d. įsakymu Nr. 4-126 „Dėl Smulkiojo ir vidutinio verslo subjekto vidutinio metų sąrašinio darbuotojų skaičiaus nustatymo tvarkos aprašo patvirtinimo“ (toliau – aprašas). Jeigu vietos projekto paraiška teikiama sausio mėnesį, vidutinis sąrašinis darbuotojų skaičius skaičiuojamas pagal ataskaitinių metų duomenis, jeigu vietos projekto paraiška teikiama vasario–gruodžio mėnesiais, vidutinis sąrašinis darbuotojų skaičius skaičiuojamas pagal einamųjų metų praėjusių mėnesių duomenis, naudojant aprašo 7 punkte nustatytą vidutinio sąrašinio darbuotojų nustatymo būdą.</t>
  </si>
  <si>
    <t>Nuomos / panaudos davėjas (asmens vardas, pavardė / įmonės pavadinimas)</t>
  </si>
  <si>
    <t>Valdymo teisė</t>
  </si>
  <si>
    <t>Turto objekto pavadinimas</t>
  </si>
  <si>
    <t>Vidutinis darbuotojų skaičius ir darbo užmokestis</t>
  </si>
  <si>
    <t>Darbuotojų vidutinis metinis darbo užmokestis (bruto), Eur</t>
  </si>
  <si>
    <t>Vidutinis darbuotojų (etatų) skaičius</t>
  </si>
  <si>
    <t>Iš viso darbo užmokesčio sąnaudos, Eur</t>
  </si>
  <si>
    <t>Unikalus objekto Nr.</t>
  </si>
  <si>
    <t>Panauda</t>
  </si>
  <si>
    <t>Nuoma</t>
  </si>
  <si>
    <t>Turto valdymo teisinis pagrindas</t>
  </si>
  <si>
    <t>Pagaminimo metai</t>
  </si>
  <si>
    <t>Informacija apie turimą ilgalaikį materialųjį turtą</t>
  </si>
  <si>
    <t>Pareiškėjo turimi ištekliai (išskyrus finansinius)</t>
  </si>
  <si>
    <t>3.1.1.1.</t>
  </si>
  <si>
    <t>Jei keičiasi darbuotojų skaičius, paaiškinkite priežastis.</t>
  </si>
  <si>
    <t>Darbuotojų skaičiaus ir darbo užmokesčio pokyčių paaiškinimas</t>
  </si>
  <si>
    <t>3.1.1.2.</t>
  </si>
  <si>
    <t>3.1.1.3.</t>
  </si>
  <si>
    <t>3.1.1.4.</t>
  </si>
  <si>
    <t>3.1.2.</t>
  </si>
  <si>
    <t>3.1.2.1.</t>
  </si>
  <si>
    <t>3.1.2.2.</t>
  </si>
  <si>
    <t>3.1.2.3.</t>
  </si>
  <si>
    <t>3.1.2.4.</t>
  </si>
  <si>
    <t>3.1.2.5.</t>
  </si>
  <si>
    <t>3.1.2.6.</t>
  </si>
  <si>
    <t>3.1.2.7.</t>
  </si>
  <si>
    <t>Nuosavas turtas</t>
  </si>
  <si>
    <t>Kompensavimas su avansu</t>
  </si>
  <si>
    <t>Paramos išmokėjimo būdas</t>
  </si>
  <si>
    <t>Šaltinis</t>
  </si>
  <si>
    <t>3.2.</t>
  </si>
  <si>
    <t>3.2.1.</t>
  </si>
  <si>
    <t>3.2.2.</t>
  </si>
  <si>
    <r>
      <t>Pasiūla.</t>
    </r>
    <r>
      <rPr>
        <sz val="11"/>
        <rFont val="Calibri"/>
        <family val="2"/>
        <charset val="186"/>
        <scheme val="minor"/>
      </rPr>
      <t xml:space="preserve"> Verslo plane numatytų gaminti prekių ir (arba) teikti paslaugų pasiūlos apibūdinimas (konkurencinė aplinka).</t>
    </r>
  </si>
  <si>
    <r>
      <t xml:space="preserve">Paklausa. </t>
    </r>
    <r>
      <rPr>
        <sz val="11"/>
        <rFont val="Calibri"/>
        <family val="2"/>
        <charset val="186"/>
        <scheme val="minor"/>
      </rPr>
      <t>Verslo plane numatytų gaminti prekių ir (arba) teikti paslaugų paklausos apibūdinimas.</t>
    </r>
  </si>
  <si>
    <t>Paramos išmokėjimo būdai</t>
  </si>
  <si>
    <t>Kompensavimas</t>
  </si>
  <si>
    <t>Sąskaitų apmokėjimo būdas</t>
  </si>
  <si>
    <t>Prašomos paramos dydis</t>
  </si>
  <si>
    <t>Didžiausias galimas išmokėti avanso dydis</t>
  </si>
  <si>
    <t>Suma finansavimui</t>
  </si>
  <si>
    <t>Etapai</t>
  </si>
  <si>
    <t>Pajamos iš gamybos</t>
  </si>
  <si>
    <t>Pajamos iš paslaugų</t>
  </si>
  <si>
    <t>Pajamos iš kitos veiklos</t>
  </si>
  <si>
    <t>jei neįrašyta, apskaičiuojama remiantis ilgiausia projekto įgyvendinimo trukme</t>
  </si>
  <si>
    <t>Vykdomos veiklos pagal EVRK kodą:</t>
  </si>
  <si>
    <t>Veiklos kodas ir pavadinimas pagal EVRK</t>
  </si>
  <si>
    <r>
      <t>Pajamos (</t>
    </r>
    <r>
      <rPr>
        <b/>
        <sz val="9"/>
        <color theme="1"/>
        <rFont val="Times New Roman"/>
        <family val="1"/>
        <charset val="186"/>
      </rPr>
      <t>gamyba</t>
    </r>
    <r>
      <rPr>
        <sz val="9"/>
        <color theme="1"/>
        <rFont val="Times New Roman"/>
        <family val="1"/>
        <charset val="186"/>
      </rPr>
      <t>)</t>
    </r>
  </si>
  <si>
    <r>
      <t>Pajamos (</t>
    </r>
    <r>
      <rPr>
        <b/>
        <sz val="9"/>
        <color theme="1"/>
        <rFont val="Times New Roman"/>
        <family val="1"/>
        <charset val="186"/>
      </rPr>
      <t>paslaugos</t>
    </r>
    <r>
      <rPr>
        <sz val="9"/>
        <color theme="1"/>
        <rFont val="Times New Roman"/>
        <family val="1"/>
        <charset val="186"/>
      </rPr>
      <t>)</t>
    </r>
  </si>
  <si>
    <r>
      <rPr>
        <b/>
        <sz val="9"/>
        <color theme="1"/>
        <rFont val="Times New Roman"/>
        <family val="1"/>
        <charset val="186"/>
      </rPr>
      <t>Paslaugos</t>
    </r>
    <r>
      <rPr>
        <sz val="9"/>
        <color theme="1"/>
        <rFont val="Times New Roman"/>
        <family val="1"/>
        <charset val="186"/>
      </rPr>
      <t xml:space="preserve"> pavadinimas</t>
    </r>
  </si>
  <si>
    <r>
      <rPr>
        <b/>
        <sz val="9"/>
        <color theme="1"/>
        <rFont val="Times New Roman"/>
        <family val="1"/>
        <charset val="186"/>
      </rPr>
      <t>Produkto</t>
    </r>
    <r>
      <rPr>
        <sz val="9"/>
        <color theme="1"/>
        <rFont val="Times New Roman"/>
        <family val="1"/>
        <charset val="186"/>
      </rPr>
      <t xml:space="preserve"> pavadinimas</t>
    </r>
  </si>
  <si>
    <r>
      <rPr>
        <b/>
        <sz val="9"/>
        <color theme="1"/>
        <rFont val="Times New Roman"/>
        <family val="1"/>
        <charset val="186"/>
      </rPr>
      <t>Kitos veiklos</t>
    </r>
    <r>
      <rPr>
        <sz val="9"/>
        <color theme="1"/>
        <rFont val="Times New Roman"/>
        <family val="1"/>
        <charset val="186"/>
      </rPr>
      <t xml:space="preserve"> pavadinimas</t>
    </r>
  </si>
  <si>
    <r>
      <t>Pajamos (</t>
    </r>
    <r>
      <rPr>
        <b/>
        <sz val="9"/>
        <color theme="1"/>
        <rFont val="Times New Roman"/>
        <family val="1"/>
        <charset val="186"/>
      </rPr>
      <t>kita veikla</t>
    </r>
    <r>
      <rPr>
        <sz val="9"/>
        <color theme="1"/>
        <rFont val="Times New Roman"/>
        <family val="1"/>
        <charset val="186"/>
      </rPr>
      <t>)</t>
    </r>
  </si>
  <si>
    <t>Lygis</t>
  </si>
  <si>
    <t>Skyrius</t>
  </si>
  <si>
    <t>Parduoto kiekio ir pardavimo kainų pagrindimas</t>
  </si>
  <si>
    <t>Matavimo vienetai</t>
  </si>
  <si>
    <t>t</t>
  </si>
  <si>
    <t>kg</t>
  </si>
  <si>
    <t>m3</t>
  </si>
  <si>
    <r>
      <t>m</t>
    </r>
    <r>
      <rPr>
        <vertAlign val="superscript"/>
        <sz val="11"/>
        <color theme="1"/>
        <rFont val="Calibri"/>
        <family val="2"/>
        <charset val="186"/>
        <scheme val="minor"/>
      </rPr>
      <t>2</t>
    </r>
  </si>
  <si>
    <r>
      <t>m</t>
    </r>
    <r>
      <rPr>
        <vertAlign val="superscript"/>
        <sz val="11"/>
        <color theme="1"/>
        <rFont val="Calibri"/>
        <family val="2"/>
        <charset val="186"/>
        <scheme val="minor"/>
      </rPr>
      <t>3</t>
    </r>
  </si>
  <si>
    <t>IŠ VISO TURTO</t>
  </si>
  <si>
    <t>7.1.</t>
  </si>
  <si>
    <t>INFORMACIJA APIE PAREIŠKĖJO VEIKLOS SĄNAUDAS, EUR</t>
  </si>
  <si>
    <t>8.1.1</t>
  </si>
  <si>
    <t>8.1.2</t>
  </si>
  <si>
    <t>8.1.3</t>
  </si>
  <si>
    <t>8.1.4</t>
  </si>
  <si>
    <t>8.1.5</t>
  </si>
  <si>
    <t xml:space="preserve">Turimos paskolos ir (arba) išperkamoji nuoma, Eur </t>
  </si>
  <si>
    <t xml:space="preserve">INFORMACIJA APIE PASKOLAS IR (ARBA) IŠPERKAMĄJĄ (FINANSINĘ) NUOMĄ (LIZINGĄ), EUR
 </t>
  </si>
  <si>
    <t xml:space="preserve">Paskolų aptarnavimas, Eur </t>
  </si>
  <si>
    <t>Ilgalaikės paskolos paėmimas</t>
  </si>
  <si>
    <t>Ilgalaikės paskolos grąžinimas</t>
  </si>
  <si>
    <t>Likutis</t>
  </si>
  <si>
    <t>Paskirtis</t>
  </si>
  <si>
    <t>Gavimo data</t>
  </si>
  <si>
    <t>Grąžinimo data</t>
  </si>
  <si>
    <t>Pradinė suma</t>
  </si>
  <si>
    <t>9.1</t>
  </si>
  <si>
    <t>9.2</t>
  </si>
  <si>
    <t>9.3</t>
  </si>
  <si>
    <t>Pelno mokesčio tarifas</t>
  </si>
  <si>
    <t>Pelno mokesčio tarifo pagrindimas</t>
  </si>
  <si>
    <t>Paskolų aptarnavimo suvestinė.</t>
  </si>
  <si>
    <t>Išperkamosios nuomos (lizingo) aptarnavimo suvestinė.</t>
  </si>
  <si>
    <t>&lt;&lt; Įvesta 5.2 lentelėje</t>
  </si>
  <si>
    <t>9.2.1.</t>
  </si>
  <si>
    <t>9.2.2.</t>
  </si>
  <si>
    <t>Išperkamosios nuomos (lizingo) aptarnavimas, Eur</t>
  </si>
  <si>
    <t xml:space="preserve">Nurodomi ir apibūdinami pagrindiniai pareiškėjo konkurentai, paaiškinamos konkurentų silpnosios ir stipriosios savybės. Pateikiama informacija apie vidutinį planuojamų parduoti preikių ir (arba) paslaugų kainų lygį. Apbūdinamos galimos konkurencinės aplinkos ir kainų lygio kitimo tendencijos.
</t>
  </si>
  <si>
    <t>Nurodoma žemės vertė,  įskaitant mišką.</t>
  </si>
  <si>
    <t>Nurodoma vertė, įskaitant sumokėtus avansus ir vykdomus materialiojo turto  statybos (gamybos) darbus</t>
  </si>
  <si>
    <t>Jei dalis darbo užmokesčio sąnaudų priskiriamos pardavimo sąnaudoms, jos įvedamos čia.</t>
  </si>
  <si>
    <t>Jei dalis darbo užmokesčio sąnaudų priskiriamos bendrosioms ir administracinėms sąnaudos, jos įvedamos čia.</t>
  </si>
  <si>
    <r>
      <t xml:space="preserve">Investicijų </t>
    </r>
    <r>
      <rPr>
        <b/>
        <sz val="11"/>
        <color theme="4"/>
        <rFont val="Times New Roman"/>
        <family val="1"/>
        <charset val="186"/>
      </rPr>
      <t>apmokėjimo</t>
    </r>
    <r>
      <rPr>
        <b/>
        <sz val="11"/>
        <color theme="1"/>
        <rFont val="Times New Roman"/>
        <family val="1"/>
        <charset val="186"/>
      </rPr>
      <t xml:space="preserve"> šaltiniai</t>
    </r>
  </si>
  <si>
    <r>
      <rPr>
        <b/>
        <sz val="9"/>
        <color theme="4"/>
        <rFont val="Times New Roman"/>
        <family val="1"/>
        <charset val="186"/>
      </rPr>
      <t>Apmokėjimo</t>
    </r>
    <r>
      <rPr>
        <b/>
        <sz val="9"/>
        <color theme="1"/>
        <rFont val="Times New Roman"/>
        <family val="1"/>
        <charset val="186"/>
      </rPr>
      <t xml:space="preserve"> šaltiniai</t>
    </r>
  </si>
  <si>
    <t>Paramos išmokėjimo trukmė, mėn.</t>
  </si>
  <si>
    <t>Etapo mokėjimo prašymo pateikimo data</t>
  </si>
  <si>
    <t>INFORMACIJA APIE INVESTICIJAS IR JŲ APMOKĖJIMO ŠALTINIUS</t>
  </si>
  <si>
    <t>PASTABOS</t>
  </si>
  <si>
    <t>255;205;205</t>
  </si>
  <si>
    <t>Jei:
- langelyje rašomas tekstas ir norima tekstą pradėti rašyti iš naujos eilutės langelio viduje, naudokite klavišų kombinaciją "Alt+Enter";
(Alt kairysis)</t>
  </si>
  <si>
    <t>- langeliuose skirtuose tekstui įvesti, dalis įvesto teksto nesimato ir negali būti sutrumpintas nes pateikiama svarbi informacija, tekstą palikite, jis bus perskaitytas iš šio excel failo.</t>
  </si>
  <si>
    <t>Paraiškos priimamos nuo</t>
  </si>
  <si>
    <t>255;240;210</t>
  </si>
  <si>
    <t>10.2.</t>
  </si>
  <si>
    <t>10.1.</t>
  </si>
  <si>
    <t>5.2.1</t>
  </si>
  <si>
    <t>5.2.1.1</t>
  </si>
  <si>
    <t>5.2.1.2</t>
  </si>
  <si>
    <t>5.2.1.3</t>
  </si>
  <si>
    <t>5.2.1.4</t>
  </si>
  <si>
    <t>5.2.1.5</t>
  </si>
  <si>
    <t>5.2.1.6</t>
  </si>
  <si>
    <t>5.2.1.7</t>
  </si>
  <si>
    <t>5.2.1.8</t>
  </si>
  <si>
    <t>5.2.1.9</t>
  </si>
  <si>
    <t>5.2.2</t>
  </si>
  <si>
    <t>5.2.2.1</t>
  </si>
  <si>
    <t>5.2.2.2</t>
  </si>
  <si>
    <t>5.2.2.3</t>
  </si>
  <si>
    <t>5.2.2.4</t>
  </si>
  <si>
    <t>5.2.2.5</t>
  </si>
  <si>
    <t>5.2.2.6</t>
  </si>
  <si>
    <t>5.2.2.7</t>
  </si>
  <si>
    <t>5.2.2.8</t>
  </si>
  <si>
    <t>5.2.2.9</t>
  </si>
  <si>
    <t>5.2.3</t>
  </si>
  <si>
    <t>5.2.3.1</t>
  </si>
  <si>
    <t>5.2.3.2</t>
  </si>
  <si>
    <t>5.2.3.3</t>
  </si>
  <si>
    <t>5.2.3.4</t>
  </si>
  <si>
    <t>5.2.3.5</t>
  </si>
  <si>
    <t>5.2.4</t>
  </si>
  <si>
    <t>5.2.4.1</t>
  </si>
  <si>
    <t>5.2.4.2</t>
  </si>
  <si>
    <t>5.2.4.3</t>
  </si>
  <si>
    <t>5.2.4.4</t>
  </si>
  <si>
    <t>5.2.4.5</t>
  </si>
  <si>
    <t>5.2.5</t>
  </si>
  <si>
    <t>5.2.5.1</t>
  </si>
  <si>
    <t>5.2.5.2</t>
  </si>
  <si>
    <t>5.2.5.3</t>
  </si>
  <si>
    <t>5.2.5.4</t>
  </si>
  <si>
    <t>5.2.5.5</t>
  </si>
  <si>
    <t>5.2.3.6</t>
  </si>
  <si>
    <t>5.2.3.7</t>
  </si>
  <si>
    <t>5.2.3.8</t>
  </si>
  <si>
    <t>5.2.3.9</t>
  </si>
  <si>
    <t>5.2.4.6</t>
  </si>
  <si>
    <t>5.2.4.7</t>
  </si>
  <si>
    <t>5.2.4.8</t>
  </si>
  <si>
    <t>5.2.4.9</t>
  </si>
  <si>
    <t>5.2.5.6</t>
  </si>
  <si>
    <t>5.2.5.7</t>
  </si>
  <si>
    <t>5.2.5.8</t>
  </si>
  <si>
    <t>5.2.5.9</t>
  </si>
  <si>
    <t>9.3.1.</t>
  </si>
  <si>
    <t xml:space="preserve">9.3.2. </t>
  </si>
  <si>
    <t>9.3.3.</t>
  </si>
  <si>
    <t>9.3.4.</t>
  </si>
  <si>
    <t>9.3.5.</t>
  </si>
  <si>
    <t>9.3.6.</t>
  </si>
  <si>
    <t>9.3.7.</t>
  </si>
  <si>
    <t>9.3.3.2.</t>
  </si>
  <si>
    <t>9.3.3.1.</t>
  </si>
  <si>
    <t>9.3.1.1.</t>
  </si>
  <si>
    <t>9.3.1.2.</t>
  </si>
  <si>
    <t>9.3.1.3.</t>
  </si>
  <si>
    <t>9.3.1.4.</t>
  </si>
  <si>
    <t>9.3.1.6.</t>
  </si>
  <si>
    <t>9.3.1.7.</t>
  </si>
  <si>
    <t>9.3.1.8.</t>
  </si>
  <si>
    <t>9.3.1.9.</t>
  </si>
  <si>
    <t>9.3.1.10.</t>
  </si>
  <si>
    <t>9.3.1.11.</t>
  </si>
  <si>
    <t>9.3.1.13.</t>
  </si>
  <si>
    <t>9.3.1.14.</t>
  </si>
  <si>
    <t>9.3.1.15.</t>
  </si>
  <si>
    <t>9.3.1.16.</t>
  </si>
  <si>
    <t>9.3.1.17.</t>
  </si>
  <si>
    <t>9.3.2.1.</t>
  </si>
  <si>
    <t>9.3.2.2.</t>
  </si>
  <si>
    <t>9.3.2.3.</t>
  </si>
  <si>
    <t>9.3.2.4.</t>
  </si>
  <si>
    <t>9.3.2.5.</t>
  </si>
  <si>
    <t>9.3.2.6.</t>
  </si>
  <si>
    <t>9.3.2.7.</t>
  </si>
  <si>
    <t>9.3.2.8.</t>
  </si>
  <si>
    <t>Žalsvos spalvos lengeliuose gali būti pateikta svarbi informacija, kaip pildyti verslo plano eilutę, arba gali būti gautas pranešimas ar ši eilutė užpildyta teisingai.</t>
  </si>
  <si>
    <t>Gelsvos spalvos langelyje pateikiami lentelių pavadinimai, lentelių antraštės, taip pat, rodomi verslo plano įgyvendinimo metai.</t>
  </si>
  <si>
    <t>255;230;155</t>
  </si>
  <si>
    <t>Sutikrinimas su 5 skyriuje nurodytais įsigijimais</t>
  </si>
  <si>
    <t>NUOSAVO KAPITALO IR ĮSIPAREIGOJIMŲ IŠ VISO</t>
  </si>
  <si>
    <t>9.1.1.</t>
  </si>
  <si>
    <t>9.1.2.</t>
  </si>
  <si>
    <t>9.1.3.</t>
  </si>
  <si>
    <t>9.1.4.</t>
  </si>
  <si>
    <t>Palūkanos</t>
  </si>
  <si>
    <t>Prognozuojamu laikotarpiu priskirtas nematerialiojo ir ilgalaikio materialiojo turto perleidimo pelnas. Jei ataskaitiniais metais turime kitą reikšmę, galima ją įvesti ištrinant formulę.</t>
  </si>
  <si>
    <t>Prognozuojamu laikotarpiu priskirtas nematerialiojo ir ilgalaikio materialiojo turto perleidimo nuostolis. Jei ataskaitiniais metais turime kitą reikšmę, galima ją įvesti ištrinant formulę.</t>
  </si>
  <si>
    <t>Neplanuojama.</t>
  </si>
  <si>
    <t>Kito ilgalaikio turto, įskaitant biologinį, sumažėjimas (padidėjimas)</t>
  </si>
  <si>
    <t>Iš viso investicijų iki</t>
  </si>
  <si>
    <t>9.2.3.</t>
  </si>
  <si>
    <t>9.2.4.</t>
  </si>
  <si>
    <t>9.2.5.</t>
  </si>
  <si>
    <t>9.2.6.</t>
  </si>
  <si>
    <t>9.2.7.</t>
  </si>
  <si>
    <t>9.3.1.12.</t>
  </si>
  <si>
    <t>6.2.</t>
  </si>
  <si>
    <t>6.1.</t>
  </si>
  <si>
    <t>6.1.1.</t>
  </si>
  <si>
    <t>6.1.2.</t>
  </si>
  <si>
    <t>6.1.3.</t>
  </si>
  <si>
    <t>6.1.4.</t>
  </si>
  <si>
    <t>6.3.1.</t>
  </si>
  <si>
    <t>6.3.2.</t>
  </si>
  <si>
    <t>6.3.3.</t>
  </si>
  <si>
    <t>6.3.4.</t>
  </si>
  <si>
    <t>6.3.5.</t>
  </si>
  <si>
    <t>6.3.6.</t>
  </si>
  <si>
    <t>6.3.7.</t>
  </si>
  <si>
    <t>6.3.8.</t>
  </si>
  <si>
    <t>6.3.9.</t>
  </si>
  <si>
    <t>6.3.</t>
  </si>
  <si>
    <t>6.4.</t>
  </si>
  <si>
    <t>6.4.1.</t>
  </si>
  <si>
    <t>6.4.2.</t>
  </si>
  <si>
    <t>6.4.3.</t>
  </si>
  <si>
    <t>6.4.4.</t>
  </si>
  <si>
    <t>6.4.5.</t>
  </si>
  <si>
    <t>6.4.6.</t>
  </si>
  <si>
    <t>6.4.7.</t>
  </si>
  <si>
    <t>6.4.8.</t>
  </si>
  <si>
    <t>6.4.9.</t>
  </si>
  <si>
    <t>6.5.</t>
  </si>
  <si>
    <t>6.5.1.</t>
  </si>
  <si>
    <t>6.5.2.</t>
  </si>
  <si>
    <t>6.5.3.</t>
  </si>
  <si>
    <t>6.5.4.</t>
  </si>
  <si>
    <t>6.5.5.</t>
  </si>
  <si>
    <t>6.5.6.</t>
  </si>
  <si>
    <t>6.5.7.</t>
  </si>
  <si>
    <t>6.5.8.</t>
  </si>
  <si>
    <t>6.5.9.</t>
  </si>
  <si>
    <t>6.6.</t>
  </si>
  <si>
    <t>6.6.1.</t>
  </si>
  <si>
    <t>6.6.2.</t>
  </si>
  <si>
    <t>6.6.3.</t>
  </si>
  <si>
    <t>6.6.4.</t>
  </si>
  <si>
    <t>6.6.5.</t>
  </si>
  <si>
    <t>6.6.6.</t>
  </si>
  <si>
    <t>6.6.7.</t>
  </si>
  <si>
    <t>6.6.8.</t>
  </si>
  <si>
    <t>6.6.9.</t>
  </si>
  <si>
    <t>6.7.</t>
  </si>
  <si>
    <t>6.7.1.</t>
  </si>
  <si>
    <t>6.7.2.</t>
  </si>
  <si>
    <t>6.7.3.</t>
  </si>
  <si>
    <t>6.7.4.</t>
  </si>
  <si>
    <t>6.7.5.</t>
  </si>
  <si>
    <t>6.7.6.</t>
  </si>
  <si>
    <t>6.7.7.</t>
  </si>
  <si>
    <t>6.7.8.</t>
  </si>
  <si>
    <t>6.7.9.</t>
  </si>
  <si>
    <t>7.1.1.</t>
  </si>
  <si>
    <t>7.1.2.</t>
  </si>
  <si>
    <t>7.1.3.</t>
  </si>
  <si>
    <t>7.1.4.</t>
  </si>
  <si>
    <t>7.1.5.</t>
  </si>
  <si>
    <t>7.1.6.</t>
  </si>
  <si>
    <t>7.1.7.</t>
  </si>
  <si>
    <t>7.1.8.</t>
  </si>
  <si>
    <t>7.1.9.</t>
  </si>
  <si>
    <t>7.2.</t>
  </si>
  <si>
    <t>7.2.1.</t>
  </si>
  <si>
    <t>7.2.2.</t>
  </si>
  <si>
    <t>7.2.3.</t>
  </si>
  <si>
    <t>7.2.4.</t>
  </si>
  <si>
    <t>7.2.5.</t>
  </si>
  <si>
    <t>7.2.6.</t>
  </si>
  <si>
    <t>7.3.</t>
  </si>
  <si>
    <t>7.3.1.</t>
  </si>
  <si>
    <t>7.3.2.</t>
  </si>
  <si>
    <t>7.3.3.</t>
  </si>
  <si>
    <t>7.3.4.</t>
  </si>
  <si>
    <t>7.3.5.</t>
  </si>
  <si>
    <t>7.3.6.</t>
  </si>
  <si>
    <t>7.3.7.</t>
  </si>
  <si>
    <t>5.1.1.</t>
  </si>
  <si>
    <t>5.1.2.</t>
  </si>
  <si>
    <t>5.1.3.</t>
  </si>
  <si>
    <t>5.1.4.</t>
  </si>
  <si>
    <t>5.1.5.</t>
  </si>
  <si>
    <t>5.1.6.</t>
  </si>
  <si>
    <t>5.1.7.</t>
  </si>
  <si>
    <t>5.1.8.</t>
  </si>
  <si>
    <t>5.1.9.</t>
  </si>
  <si>
    <t>5.1.10.</t>
  </si>
  <si>
    <t>5.1.11.</t>
  </si>
  <si>
    <t>INFORMACIJA APIE VERSLO IDĖJĄ</t>
  </si>
  <si>
    <t>INFORMACIJA APIE ILGALAIKĮ TURTĄ, EUR</t>
  </si>
  <si>
    <t>ESAMA SITUACIJA (IŠSKYRUS FINANSINĘ) IR PROGNOZUOJAMAS POKYTIS PO PARAMOS GAVIMO</t>
  </si>
  <si>
    <t>Skyriaus Nr.</t>
  </si>
  <si>
    <t>Rausvas langelis reiškia, kad duomenys yra neteisingai ar tik dalinai įvesti. Jei žalsvame stulpelyje "Pastabos" gaunamas pranešimas  "Klaida! ...", jame nurodomas klaidos pobūdis.</t>
  </si>
  <si>
    <t>Dokumento antraštė</t>
  </si>
  <si>
    <t>Auksinės spalvos langelis reiškia, kad atkreitumėte dėmesį ir pasitikrintumėte ar duomenys yra tikrai teisingi. Jei redaguotinas laukas, formulė langelyje gali būti ištrinta.</t>
  </si>
  <si>
    <t>20.6. jeigu vietos projekte numatytos investicijos naujo verslo kūrimui arba esamo verslo plėtrai (įskaitant bendruomeninį ir socialinį verslą), prie vietos projekto paraiškos turi būti pateikiamas vietos projekto verslo planas, įrodantis, kad būsimas naujas verslas arba plėtojamas esamas verslas yra ekonomiškai gyvybingas, t. y. vietos projekto verslo planas turi atitikti ekonominio gyvybingumo kriterijus ir jų reikšmes, nustatytas Taisyklių 20.6.1–20.6.4 papunkčiuose (bendradarbiavimo vietos projektų atveju, ekonominio gyvybingumo rodiklius turi atitikti pareiškėjas ir partneris). Ekonominio gyvybingumo rodiklių skaičiavimo nuostatos ir formulės yra nustatytos Ūkio subjektų, siekiančių pasinaudoti parama pagal Lietuvos kaimo plėtros 2014–2020 metų programos ir Lietuvos žemės ūkio ir kaimo plėtros 2023–2027 m. strateginio plano priemones, ekonominio gyvybingumo nustatymo taisyklėse, patvirtintose Lietuvos Respublikos žemės ūkio ministro 2014 m. liepos 28 d. įsakymu Nr. 3D-440 „Dėl Ūkio subjektų, siekiančių pasinaudoti parama pagal Lietuvos kaimo plėtros 2014–2020 metų programos ir Lietuvos žemės ūkio ir kaimo plėtros 2023–2027 m. strateginio plano priemones, ekonominio gyvybingumo nustatymo taisyklių patvirtinimo“ (toliau – Ekonominio gyvybingumo nustatymo taisyklės):</t>
  </si>
  <si>
    <t>20.6.1. bendruomeninio ir socialinio verslo plėtros atveju – grynojo pelningumo, kurio reikšmė ≥ 1 proc., ir skolos, kurios reikšmė ≤ 0,65. Ataskaitiniais arba vienais iš dvejų eilės tvarka einančių praėjusių ataskaitinių metų (pasirinktinai) skaičiuojami grynojo pelningumo ir skolos rodikliai (abu turi būti skaičiuojami pagal tų pačių metų duomenis). Vietos projekto kontrolės laikotarpiu skaičiuojami grynojo pelningumo ir skolos rodikliai;</t>
  </si>
  <si>
    <t>20.6.2. bendruomeninio ir socialinio verslo pradžios atveju – grynojo pelningumo, kurio reikšmė ≥ 1, skolos, kurios reikšmė ≤ 0,65. Vietos projekto kontrolės laikotarpiu skaičiuojami grynojo pelningumo ir skolos rodikliai. Verslo pradžia laikoma, kai pareiškėjas yra įsteigtas paramos paraiškos pateikimo metais arba ataskaitiniais metais. Verslo pradžia gali būti laikoma pareiškėjo anksčiau pradėjusio vykdyti verslą, nei paraiškos pateikimo arba ataskaitiniais metais, veikla, jei iki paraiškos pateikimo metų iš projekte numatytos vykdyti ekonominės veiklos pagal ERVK nėra gavęs jokių pajamų;</t>
  </si>
  <si>
    <t>20.6.3.   verslo, neįvardyto Taisyklių 20.6.1 papunktyje, plėtros atveju – grynojo pelningumo, kurio reikšmė ≥ 0 proc., skolos, kurios reikšmė ≤ 0,65, paskolų padengimo, kurio reikšmė ≥ 1,25 ir einamojo likvidumo koeficiento, kurio reikšmė ≥ 1. Ataskaitiniais arba vienais metais iš dviejų eilės tvarka einančių praėjusių ataskaitinių metų (pasirinktinai) skaičiuojami grynojo pelningumo ir skolos rodikliai; abu rodikliai turi būti skaičiuojami pagal tų pačių metų duomenis). Vietos projekto įgyvendinimo laikotarpiu skaičiuojamas paskolų padengimo rodiklis, o vietos projekto kontrolės laikotarpiu skaičiuojami grynojo pelningumo, skolos, paskolų padengimo ir einamojo likvidumo koeficiento rodikliai;</t>
  </si>
  <si>
    <t>Pagal Vietos projektų, įgyvendinamų bendruomenių inicijuotos vietos plėtros būdu, administravimo taisykles:</t>
  </si>
  <si>
    <t>9.1.2.2.</t>
  </si>
  <si>
    <t>9.1.5.</t>
  </si>
  <si>
    <t>9.1.5.1.</t>
  </si>
  <si>
    <t>9.1.5.2.</t>
  </si>
  <si>
    <t>9.1.5.3</t>
  </si>
  <si>
    <t>9.1.6.</t>
  </si>
  <si>
    <t>9.1.6.1.</t>
  </si>
  <si>
    <t>9.1.6.2.</t>
  </si>
  <si>
    <t>9.1.7.</t>
  </si>
  <si>
    <t>9.1.8.</t>
  </si>
  <si>
    <t>9.1.9.</t>
  </si>
  <si>
    <t>9.1.10.</t>
  </si>
  <si>
    <t>9.1.11.</t>
  </si>
  <si>
    <t>9.1.12.</t>
  </si>
  <si>
    <t>9.1.13.</t>
  </si>
  <si>
    <t>9.1.14.</t>
  </si>
  <si>
    <t>9.1.14.1.</t>
  </si>
  <si>
    <t>9.1.14.2.</t>
  </si>
  <si>
    <t>9.1.14.3.</t>
  </si>
  <si>
    <t>9.1.2.1.</t>
  </si>
  <si>
    <t>9.1.2.3.</t>
  </si>
  <si>
    <t>9.1.2.4.</t>
  </si>
  <si>
    <t>9.1.2.5.</t>
  </si>
  <si>
    <t>9.1.2.6.</t>
  </si>
  <si>
    <t>9.1.2.7.</t>
  </si>
  <si>
    <t>9.1.15.</t>
  </si>
  <si>
    <t>Bendroji informacija</t>
  </si>
  <si>
    <t>Informacija apie verslo idėją</t>
  </si>
  <si>
    <t>Esama situacija (išskyrus finansinę) ir prognozuojamas pokytis po paramos gavimo</t>
  </si>
  <si>
    <t xml:space="preserve">Informacija apie pajamas, produktų ir paslaugų pardavimus, gamybą </t>
  </si>
  <si>
    <t>Informacija apie investicijas ir jų apmokėjimo šaltinius</t>
  </si>
  <si>
    <t>Informacija apie ilgalaikį turtą</t>
  </si>
  <si>
    <t>Informacija apie pareiškėjo veiklos sąnaudas</t>
  </si>
  <si>
    <t>Informacija apie paskolas ir (arba) išperkamąją (finansinę) nuomą (lizingą)</t>
  </si>
  <si>
    <t>Informacija apie ūkio subjekto ekonominio gyvybingumo rodiklius</t>
  </si>
  <si>
    <t>Būdas</t>
  </si>
  <si>
    <t>Formos kodas</t>
  </si>
  <si>
    <t>Formos koregavimo ir pataisymų registras</t>
  </si>
  <si>
    <t>Pataisymas</t>
  </si>
  <si>
    <t>Problema</t>
  </si>
  <si>
    <t>Registravimo data</t>
  </si>
  <si>
    <t>Pataisymo data</t>
  </si>
  <si>
    <t>Pildoma pasirinkus reikšmę iš sąrašo</t>
  </si>
  <si>
    <t>PAJAMOS</t>
  </si>
  <si>
    <t>Finansavimo pajamos</t>
  </si>
  <si>
    <t>Kitos finansavimo pajamos</t>
  </si>
  <si>
    <t>Kitos pajamos</t>
  </si>
  <si>
    <t>SĄNAUDOS</t>
  </si>
  <si>
    <t>Suteiktų paslaugų, parduotų prekių savikaina</t>
  </si>
  <si>
    <t>Kitos sąnaudos</t>
  </si>
  <si>
    <t>Veiklos sąnaudos</t>
  </si>
  <si>
    <t>Pardavimo</t>
  </si>
  <si>
    <t>Darbuotojų išlaikymo</t>
  </si>
  <si>
    <t>Nusidėvėjimo (amortizacijos)</t>
  </si>
  <si>
    <t>VEIKLOS REZULTATAS PRIEŠ APMOKESTINIMĄ</t>
  </si>
  <si>
    <t>PELNO MOKESTIS</t>
  </si>
  <si>
    <t>GRYNASIS VEIKLOS REZULTATAS</t>
  </si>
  <si>
    <t>Nebaigta statyba</t>
  </si>
  <si>
    <t>Atsargos</t>
  </si>
  <si>
    <t>Išankstiniai apmokėjimai</t>
  </si>
  <si>
    <t>Nebaigtos vykdyti sutartys</t>
  </si>
  <si>
    <t>Ataskaitinių metų veiklos rezultatas</t>
  </si>
  <si>
    <t>Ankstesnių metų veiklos rezultatas</t>
  </si>
  <si>
    <t>FINANSAVIMAS</t>
  </si>
  <si>
    <t>Tiksliniai įnašai</t>
  </si>
  <si>
    <t xml:space="preserve">Finansavimo sumos iš valstybės biudžeto </t>
  </si>
  <si>
    <t>Kiti tiksliniai įnašai</t>
  </si>
  <si>
    <t>Nario mokesčiai</t>
  </si>
  <si>
    <t>Kitas finansavimas</t>
  </si>
  <si>
    <t>ILGALAIKIAI ĮSIPAREIGOJIMAI</t>
  </si>
  <si>
    <t>Finansinės skolos</t>
  </si>
  <si>
    <t>Kiti ilgalaikiai įsipareigojimai</t>
  </si>
  <si>
    <t>TRUMPALAIKIAI ĮSIPAREIGOJIMAI</t>
  </si>
  <si>
    <t>Gauti išankstiniai apmokėjimai</t>
  </si>
  <si>
    <t>Kiti trumpalaikiai įsipareigojimai</t>
  </si>
  <si>
    <t>9.2.1.1.</t>
  </si>
  <si>
    <t>9.2.1.2.</t>
  </si>
  <si>
    <t>9.2.1.3.</t>
  </si>
  <si>
    <t>9.2.1.4.</t>
  </si>
  <si>
    <t>9.2.1.4.1.</t>
  </si>
  <si>
    <t>9.2.1.4.2.</t>
  </si>
  <si>
    <t>9.2.1.5.</t>
  </si>
  <si>
    <t>9.2.2.1.</t>
  </si>
  <si>
    <t>9.2.2.2.</t>
  </si>
  <si>
    <t>9.2.2.3.</t>
  </si>
  <si>
    <t>Kitos</t>
  </si>
  <si>
    <t>9.2.2.3.1.</t>
  </si>
  <si>
    <t>9.2.2.3.2.</t>
  </si>
  <si>
    <t>9.2.2.3.3.</t>
  </si>
  <si>
    <t>9.2.2.3.4.</t>
  </si>
  <si>
    <t>9.2.2.3.5.</t>
  </si>
  <si>
    <t>Kitas materialusis turtas</t>
  </si>
  <si>
    <t>Ilgalaikių skolų einamųjų metų dalis</t>
  </si>
  <si>
    <t>Veiklos rezultatų ataskaitos prognozės, Eur</t>
  </si>
  <si>
    <t>Balanso prognozės, Eur</t>
  </si>
  <si>
    <t>Pinigų srautų ataskaitos prognozės, Eur</t>
  </si>
  <si>
    <t>9.2.1.4.3.</t>
  </si>
  <si>
    <t>Jei NVO Balanso straipsnyje "Finansinis turtas" apskaitomas turtas susijęs su atsiskaitymais, jo pokyčiai Pinigų srautuose priskiriami ne pagrindinei, o investicinei veiklai.</t>
  </si>
  <si>
    <t>PAGRINDINĖS VEIKLOS PINIGŲ SRAUTAI</t>
  </si>
  <si>
    <t>I.</t>
  </si>
  <si>
    <t>Įplaukos</t>
  </si>
  <si>
    <t>I.1.</t>
  </si>
  <si>
    <t>Finansavimo sumos kitoms išlaidoms ir atsargoms:</t>
  </si>
  <si>
    <t>I.1.1.</t>
  </si>
  <si>
    <t>iš valstybės biudžeto</t>
  </si>
  <si>
    <t>I.1.2.</t>
  </si>
  <si>
    <t>iš ES, užsienio valstybių ir tarptautinių organizacijų</t>
  </si>
  <si>
    <t>I.1.3.</t>
  </si>
  <si>
    <t>iš kitų šaltinių</t>
  </si>
  <si>
    <t>I.2.</t>
  </si>
  <si>
    <t>iš mokesčių</t>
  </si>
  <si>
    <t>I.3.</t>
  </si>
  <si>
    <t>iš socialinių įmokų</t>
  </si>
  <si>
    <t>I.4.</t>
  </si>
  <si>
    <t>už suteiktas paslaugas</t>
  </si>
  <si>
    <t>I.5.</t>
  </si>
  <si>
    <t xml:space="preserve">gautos palūkanos </t>
  </si>
  <si>
    <t>I.6.</t>
  </si>
  <si>
    <t>kitos įplaukos</t>
  </si>
  <si>
    <t>II.</t>
  </si>
  <si>
    <t>Pervestos lėšos</t>
  </si>
  <si>
    <t>III.</t>
  </si>
  <si>
    <t>Išmokos</t>
  </si>
  <si>
    <t>III.1.</t>
  </si>
  <si>
    <t>bendrų valstybės paslaugų:</t>
  </si>
  <si>
    <t>III.2.</t>
  </si>
  <si>
    <t>gynybos</t>
  </si>
  <si>
    <t>III.3.</t>
  </si>
  <si>
    <t>viešosios tvarkos ir visuomenės apsaugos</t>
  </si>
  <si>
    <t>III.4.</t>
  </si>
  <si>
    <t>ekonomikos</t>
  </si>
  <si>
    <t>III.5.</t>
  </si>
  <si>
    <t>aplinkos apsaugos</t>
  </si>
  <si>
    <t>III.6.</t>
  </si>
  <si>
    <t>būsto ir komunalinio ūkio</t>
  </si>
  <si>
    <t>III.7.</t>
  </si>
  <si>
    <t>sveikatos apsaugos</t>
  </si>
  <si>
    <t>III.8.</t>
  </si>
  <si>
    <t>susijusios su poilsiu, kultūra ir religija</t>
  </si>
  <si>
    <t>III.9.</t>
  </si>
  <si>
    <t>švietimo</t>
  </si>
  <si>
    <t>III.10.</t>
  </si>
  <si>
    <t>socialinės apsaugos</t>
  </si>
  <si>
    <t>INVESTICINĖS VEIKLOS PINIGŲ SRAUTAI</t>
  </si>
  <si>
    <t>Ilgalaikio turto (išskyrus finansinį) ir biologinio turto įsigijimas</t>
  </si>
  <si>
    <t>Ilgalaikio turto (išskyrus finansinį) ir biologinio turto perleidimas</t>
  </si>
  <si>
    <t>Ilgalaikio finansinio turto įsigijimas</t>
  </si>
  <si>
    <t>IV.</t>
  </si>
  <si>
    <t>Ilgalaikio finansinio turto perleidimas</t>
  </si>
  <si>
    <t>V.</t>
  </si>
  <si>
    <t>Terminuotųjų indėlių (padidėjimas) sumažėjimas</t>
  </si>
  <si>
    <t>VI.</t>
  </si>
  <si>
    <t>Gauti dividendai</t>
  </si>
  <si>
    <t>VII.</t>
  </si>
  <si>
    <t>Kiti investicinės veiklos pinigų srautai</t>
  </si>
  <si>
    <t>FINANSINĖS VEIKLOS PINIGŲ SRAUTAI</t>
  </si>
  <si>
    <t>Įplaukos iš gautų paskolų</t>
  </si>
  <si>
    <t>Gautų paskolų grąžinimas</t>
  </si>
  <si>
    <t>Finansinės nuomos (lizingo) įsipareigojimų apmokėjimas</t>
  </si>
  <si>
    <t>Gautos finansavimo sumos ilgalaikiam ir biologiniam turtui įsigyti</t>
  </si>
  <si>
    <t>Grąžintos finansavimo sumos ilgalaikiam ir biologiniam turtui įsigyti</t>
  </si>
  <si>
    <t>Gauti dalininko įnašai</t>
  </si>
  <si>
    <t>Kiti finansinės veiklos pinigų srautai</t>
  </si>
  <si>
    <t>VALIUTOS KURSŲ PASIKEITIMO ĮTAKA PINIGŲ IR PINIGŲ EKVIVALENTŲ LIKUČIUI</t>
  </si>
  <si>
    <t>Pinigų ir pinigų ekvivalentų padidėjimas (sumažėjimas)</t>
  </si>
  <si>
    <t>Pinigai ir pinigų ekvivalentai ataskaitinio laikotarpio pradžioje</t>
  </si>
  <si>
    <t>Pinigai ir pinigų ekvivalentai ataskaitinio laikotarpio pabaigoje</t>
  </si>
  <si>
    <t>Gauta išperkamosios nuomos suma</t>
  </si>
  <si>
    <t>Gauta finansinės nuomos (lizingo) suma</t>
  </si>
  <si>
    <t>9.3.3.3.</t>
  </si>
  <si>
    <t>9.3.3.4.</t>
  </si>
  <si>
    <t>9.3.3.5.</t>
  </si>
  <si>
    <t>9.3.3.6.</t>
  </si>
  <si>
    <t>9.3.3.7.</t>
  </si>
  <si>
    <t>9.3.3.8.</t>
  </si>
  <si>
    <t>9.3.3.9.</t>
  </si>
  <si>
    <t>9.3.3.10.</t>
  </si>
  <si>
    <t>9.3.3.11.</t>
  </si>
  <si>
    <t>DALININKŲ KAPITALAS</t>
  </si>
  <si>
    <t>NELIEČIAMSIS KAPITALAS</t>
  </si>
  <si>
    <t>SUKAUPTAS VEIKLOS REZULTATAS</t>
  </si>
  <si>
    <t>KITI REZERVAI</t>
  </si>
  <si>
    <t>Gauti dalininkų įnašai</t>
  </si>
  <si>
    <t>Pajamos už suteiktas paslaugas, parduotas prekes</t>
  </si>
  <si>
    <t xml:space="preserve">Finansavimo sumų iš valstybės biudžeto panaudojimo pajamos </t>
  </si>
  <si>
    <t>3.3.</t>
  </si>
  <si>
    <t>3.4.</t>
  </si>
  <si>
    <t>Patalpų išlaikymo</t>
  </si>
  <si>
    <t>3.5.</t>
  </si>
  <si>
    <t>Ryšių</t>
  </si>
  <si>
    <t>3.6.</t>
  </si>
  <si>
    <t>Transporto išlaikymo</t>
  </si>
  <si>
    <t>3.7.</t>
  </si>
  <si>
    <t>Turto vertės sumažėjimo</t>
  </si>
  <si>
    <t>3.8.</t>
  </si>
  <si>
    <t>Kitos veiklos</t>
  </si>
  <si>
    <t>3.9.</t>
  </si>
  <si>
    <t>Suteiktos labdaros, paramos</t>
  </si>
  <si>
    <t>3.10.</t>
  </si>
  <si>
    <t>Dėl ankstesnių laikotarpių klaidų taisymo</t>
  </si>
  <si>
    <t>Patentai, licencijos</t>
  </si>
  <si>
    <t>Programinė įranga</t>
  </si>
  <si>
    <t>Kitas nematerialusis turtas</t>
  </si>
  <si>
    <t>Kita įranga, prietaisai, įrankiai ir įrenginiai</t>
  </si>
  <si>
    <t>Kitas  materialusis turtas</t>
  </si>
  <si>
    <t>Po vienerių metų gautinos sumos</t>
  </si>
  <si>
    <t>Kitas finansinis turtas</t>
  </si>
  <si>
    <t>ATSARGOS, IŠANKSTINIAI APMOKĖJIMAI IR NEBAIGTOS VYKDYTI SUTARTYS</t>
  </si>
  <si>
    <t>PER VIENERIUS METUS GAUTINOS SUMOS</t>
  </si>
  <si>
    <t>Pirkėjų įsiskolinimas</t>
  </si>
  <si>
    <t>KITAS TRUMPALAIKIS TURTAS</t>
  </si>
  <si>
    <t>Trumpalaikės investicijos</t>
  </si>
  <si>
    <t>Terminuoti indėliai</t>
  </si>
  <si>
    <t>Kitas trumpalaikis turtas</t>
  </si>
  <si>
    <t>TURTAS, IŠ VISO</t>
  </si>
  <si>
    <t>VEIKLOS REZULTATAS</t>
  </si>
  <si>
    <t>Dotacija</t>
  </si>
  <si>
    <t>NUOSAVAS KAPITALAS, FINANSAVIMAS IR ĮSIPAREIGOJIMAI, IŠ VISO</t>
  </si>
  <si>
    <t>Finansavimo sumos, susijusios su projekto investicijomis</t>
  </si>
  <si>
    <t>Finansavimo sumos iš ES, valstybės ir savivaldybės biudžetų, išskyrus finansavimą šio projekto investicijoms</t>
  </si>
  <si>
    <t>Finansavimo sumų iš ES, valstybės ir savivaldybės biudžetų, išskyrus finansavimą šio projekto investicijoms, panaudojimo pajamos</t>
  </si>
  <si>
    <t>Finansavimo sumų, susijusios su projekto investicijomis, panaudojimo pajamos</t>
  </si>
  <si>
    <t>Gautos finansavimo sumos, susijusios su projekto investicijomis</t>
  </si>
  <si>
    <t>Gautos finansavimo sumos iš ES, valstybės ir savivaldybės biudžetų, išskyrus finansavimą šio projekto investicijoms</t>
  </si>
  <si>
    <t>8.3.4.1.</t>
  </si>
  <si>
    <t>8.3.5.</t>
  </si>
  <si>
    <t>8.3.1.</t>
  </si>
  <si>
    <t>8.3.2.</t>
  </si>
  <si>
    <t>8.3.3.</t>
  </si>
  <si>
    <t>8.3.4.</t>
  </si>
  <si>
    <t>8.2.6.1.</t>
  </si>
  <si>
    <t>8.2.7.</t>
  </si>
  <si>
    <t>8.2.6.</t>
  </si>
  <si>
    <t>8.2.5.</t>
  </si>
  <si>
    <t>8.2.1.</t>
  </si>
  <si>
    <t>8.2.1.1.</t>
  </si>
  <si>
    <t>8.2.1.2.</t>
  </si>
  <si>
    <t>8.2.2.</t>
  </si>
  <si>
    <t>8.2.3.</t>
  </si>
  <si>
    <t>8.2.4.</t>
  </si>
  <si>
    <t>iš jo, ilgalaikių paskolų dalis grąžinama per ateinančius kalendorinius metus</t>
  </si>
  <si>
    <t>iš jo, išperkamosios nuomos dalis mokama per ateinančius kalendorinius metus</t>
  </si>
  <si>
    <t>Tikslinga papildyti paskolomis gautomis einamaisiais metais</t>
  </si>
  <si>
    <t>8.1.</t>
  </si>
  <si>
    <t>8.2.</t>
  </si>
  <si>
    <t>8.3.</t>
  </si>
  <si>
    <t>Neplanuojama. Prognozuojamu laikotarpiu nematerialiojo ir ilgalaikio materialiojo turto perleidimo pelnas (nuostolis) atsispindi 9.3.2.6 arba 9.3.2.7 eil.</t>
  </si>
  <si>
    <t>Paramos suma apskaičiuojama automatiškai, remiantis 5 skyriaus duomenimis. 5 skyriuje būtina teisingai įvesti paramos dydį ir jos gavimo datą (-as).</t>
  </si>
  <si>
    <t>Prognozuojamu laikotarpiu gali būti planuojamos tik ilgalaikio turto perleidimo sąnaudos.</t>
  </si>
  <si>
    <t>Gauti ir panaudoti nario mokestis ir parama.</t>
  </si>
  <si>
    <t>Įskaitant ilgalaikį biologinį turtą.</t>
  </si>
  <si>
    <t>9.3.3.12.</t>
  </si>
  <si>
    <t>Problema nėra kritinė. Pinigų srautuose pinigų likutis skaičiuojamas teisingai, tačiau pagrindinės veiklos pinigų srautas, gali būti atvaizduotas neteisingai. Jei NVO būtų skaičiuojamas paskolų padengimo rodiklis, FA formas reikėtų tikslinti.</t>
  </si>
  <si>
    <t>9.1.12.1.</t>
  </si>
  <si>
    <t>9.1.12.2.</t>
  </si>
  <si>
    <t>9.1.16.</t>
  </si>
  <si>
    <t>9.1.17.</t>
  </si>
  <si>
    <t>9.1.17.1.</t>
  </si>
  <si>
    <t>9.1.17.2.</t>
  </si>
  <si>
    <t>9.1.18.</t>
  </si>
  <si>
    <t>9.1.18.1.</t>
  </si>
  <si>
    <t>9.1.18.2.</t>
  </si>
  <si>
    <t>9.1.18.4.</t>
  </si>
  <si>
    <t>9.1.18.3.</t>
  </si>
  <si>
    <t>9.1.18.6.</t>
  </si>
  <si>
    <t>9.1.18.7.</t>
  </si>
  <si>
    <t>Šis straipsnis nesusietas su Veiklos rezultatų ir Pinigų srautų ataskaitomis. Jei šiame straipsnyje planuojami pokyčiai, juos būtina susieti su Pinigų srautų ataskaitos straisniu "Kitų įmonės įsipareigojimų padidėjimas" ir Veiklos rezultatų ataskaitos straipsniu "Kitos finansavimo pajamos".</t>
  </si>
  <si>
    <t>7.4.</t>
  </si>
  <si>
    <t>7.4.1.</t>
  </si>
  <si>
    <t>Pareiškėjas</t>
  </si>
  <si>
    <t>Verslo subjektai</t>
  </si>
  <si>
    <t>Asociacijos ir viešosios įstaigos</t>
  </si>
  <si>
    <t>Finansinės investicinės veiklos sąnaudos:</t>
  </si>
  <si>
    <t>Pokyčiai neplanuojami.</t>
  </si>
  <si>
    <r>
      <rPr>
        <sz val="9"/>
        <color rgb="FFC00000"/>
        <rFont val="Times New Roman"/>
        <family val="1"/>
        <charset val="186"/>
      </rPr>
      <t>Atkreipkite dėmesį!</t>
    </r>
    <r>
      <rPr>
        <sz val="9"/>
        <rFont val="Times New Roman"/>
        <family val="1"/>
        <charset val="186"/>
      </rPr>
      <t xml:space="preserve"> </t>
    </r>
    <r>
      <rPr>
        <sz val="9"/>
        <color theme="1"/>
        <rFont val="Times New Roman"/>
        <family val="1"/>
        <charset val="186"/>
      </rPr>
      <t>Pokyčiai nėra susieti su pinigų srautų ataskaita. Jei šioje eilutėje planuojami skirtingi likučiai, būtina papildyti pinigų srautų ataskaitą (9.3.2.3. ir 9.3.2.4. eil.), kitaip balanso lygybė nebus gauta. Planuoti ateičiai nerekomenduojama. Duomenys gali būti įvesti, jei toks faktas yra įvykęs arba tikrai žinoma, kad įvyks.</t>
    </r>
  </si>
  <si>
    <r>
      <rPr>
        <sz val="9"/>
        <color rgb="FFC00000"/>
        <rFont val="Times New Roman"/>
        <family val="1"/>
        <charset val="186"/>
      </rPr>
      <t>Atkreipkite dėmesį!</t>
    </r>
    <r>
      <rPr>
        <sz val="9"/>
        <color theme="1"/>
        <rFont val="Times New Roman"/>
        <family val="1"/>
        <charset val="186"/>
      </rPr>
      <t xml:space="preserve"> Formulė ataskaitiniais metais gali būti ištrinta ir įrašyti duomenys iš apskaitos.</t>
    </r>
  </si>
  <si>
    <r>
      <rPr>
        <sz val="9"/>
        <color rgb="FFC00000"/>
        <rFont val="Times New Roman"/>
        <family val="1"/>
        <charset val="186"/>
      </rPr>
      <t>Atkreipkite dėmesį!</t>
    </r>
    <r>
      <rPr>
        <sz val="9"/>
        <rFont val="Times New Roman"/>
        <family val="1"/>
        <charset val="186"/>
      </rPr>
      <t xml:space="preserve"> </t>
    </r>
    <r>
      <rPr>
        <sz val="9"/>
        <color theme="1"/>
        <rFont val="Times New Roman"/>
        <family val="1"/>
        <charset val="186"/>
      </rPr>
      <t>Pokyčiai nėra susieti su pinigų srautų ataskaita. Jei šioje eilutėje planuojami skirtingi likučiai, būtina papildyti pinigų srautų ataskaitą, kitaip balanso lygybė nebus gauta. Planuoti ateičiai nerekomenduojama. Duomenys gali būti įvesti, jei toks faktas yra įvykęs arba tikrai žinoma, kad įvyks.</t>
    </r>
  </si>
  <si>
    <r>
      <rPr>
        <sz val="9"/>
        <color rgb="FFC00000"/>
        <rFont val="Times New Roman"/>
        <family val="1"/>
        <charset val="186"/>
      </rPr>
      <t>Atkreipkite dėmesį!</t>
    </r>
    <r>
      <rPr>
        <sz val="9"/>
        <rFont val="Times New Roman"/>
        <family val="1"/>
        <charset val="186"/>
      </rPr>
      <t xml:space="preserve"> </t>
    </r>
    <r>
      <rPr>
        <sz val="9"/>
        <color theme="1"/>
        <rFont val="Times New Roman"/>
        <family val="1"/>
        <charset val="186"/>
      </rPr>
      <t>Prognozuojamu laikotarpiu eliminuojamos tik palūkanos. Ataskaitiniais metais, jei be palūkanų buvo kitų efektų, formulę ištrinkite ir įrašykite teisingą reikšmę.</t>
    </r>
  </si>
  <si>
    <r>
      <rPr>
        <sz val="9"/>
        <color rgb="FFC00000"/>
        <rFont val="Times New Roman"/>
        <family val="1"/>
        <charset val="186"/>
      </rPr>
      <t xml:space="preserve">Atkreipkite dėmesį! </t>
    </r>
    <r>
      <rPr>
        <sz val="9"/>
        <color theme="1"/>
        <rFont val="Times New Roman"/>
        <family val="1"/>
        <charset val="186"/>
      </rPr>
      <t>Balanso straipsnis "Finansinis turtas" nėra susietas su šia pinigų srautų ataskaitos eilute. Planuoti ateičiai nerekomenduojama. Duomenys gali būti įvesti, jei toks faktas yra įvykęs arba tikrai žinoma, kad įvyks.</t>
    </r>
  </si>
  <si>
    <r>
      <rPr>
        <sz val="9"/>
        <color rgb="FFC00000"/>
        <rFont val="Times New Roman"/>
        <family val="1"/>
        <charset val="186"/>
      </rPr>
      <t>Atkreipkite dėmesį!</t>
    </r>
    <r>
      <rPr>
        <sz val="9"/>
        <color theme="1"/>
        <rFont val="Times New Roman"/>
        <family val="1"/>
        <charset val="186"/>
      </rPr>
      <t xml:space="preserve"> Balanso straipsnis "Finansinis turtas" nėra susietas su šia pinigų srautų ataskaitos eilute. Planuoti ateičiai nerekomenduojama. Duomenys gali būti įvesti, jei toks faktas yra įvykęs arba tikrai žinoma, kad įvyks.</t>
    </r>
  </si>
  <si>
    <t>Naudojami paramos išmokėjimo būdai</t>
  </si>
  <si>
    <t>Taip</t>
  </si>
  <si>
    <t>Taip ar Ne</t>
  </si>
  <si>
    <t>Ne</t>
  </si>
  <si>
    <t>Pasirinkti</t>
  </si>
  <si>
    <t>Taikymas</t>
  </si>
  <si>
    <t>Meniu_Būdas</t>
  </si>
  <si>
    <t>L2</t>
  </si>
  <si>
    <t>Papildytas Parametrų lapas: Galima pasirinkti taikomus paramos būdus</t>
  </si>
  <si>
    <t>Gali būti taikomi ne visi paramos būdai</t>
  </si>
  <si>
    <t xml:space="preserve">Forma </t>
  </si>
  <si>
    <t>Adresas, e. paštas, telefono Nr.</t>
  </si>
  <si>
    <r>
      <t xml:space="preserve">Užpildžius 4 skyrių, vykdomų veiklų sąrašas sudaromas automatiškai (automatiškai neužsipildys, jei naudojate senesnes </t>
    </r>
    <r>
      <rPr>
        <i/>
        <sz val="9"/>
        <rFont val="Calibri"/>
        <family val="2"/>
        <charset val="186"/>
        <scheme val="minor"/>
      </rPr>
      <t>Excel</t>
    </r>
    <r>
      <rPr>
        <sz val="9"/>
        <rFont val="Calibri"/>
        <family val="2"/>
        <charset val="186"/>
        <scheme val="minor"/>
      </rPr>
      <t xml:space="preserve"> versijas).</t>
    </r>
  </si>
  <si>
    <t>Darbo užmokesčio sąnaudos ataskaitiniais metais įvedamos remiantis finansinės atskaitomybės duomenimis.</t>
  </si>
  <si>
    <t>Nurodomas ilgalaikis turtas, susijęs su vykdoma veikla, projekto investicijomis ir ūkio gamybiniu potencialu. Nurodomas materialusis, įskaitant nekilnojamąjį, turtas. Nurodykite tik tą turtą, kuris yra susijęs su projekto investicijomis (kartu naudojamas gamybos ir (arba) paslaugų teikimo procese, taip pat nekilnojamas turtas, kuriame bus laikomos projekto investicijos).</t>
  </si>
  <si>
    <t>Jei sutartis neterminuota, nuomos / panaudos termino įvesti nereikia.</t>
  </si>
  <si>
    <t>Pateikiama informacija apie planuojamų parduoti prekių ir (arba) paslaugų pirkėjus / klientus. Glaustai apibūdinami pagrindinių rinkos segmentų požymiai, pirkėjų / kleintų poreikiai, kokioms prekėms / paslaugoms jie teikia prioritetą, kiek pareiškėjo gaminamos prekės ir (arba) teikiamos paslaugos atitinka pirkėjų / klientų poreikius. Apbūdinamos galimos rinkos kitimo tendencijos.</t>
  </si>
  <si>
    <t>Gaminamo produkto pavadinimas.</t>
  </si>
  <si>
    <t>Veiklos kodas ir pavadinimas pagal EVRK (pvz., 10.32. Vaisių, uogų ir daržovių sulčių gamyba).</t>
  </si>
  <si>
    <t>Stulpelyje " Matavimo vnt." pasirenkama  tinkama matavimo vieneto reikšmė iš sąrašo.</t>
  </si>
  <si>
    <t>Rekomenduojama: nurodomas visas pagamintas kiekis, kaip parduodamas, nebent dalis pagamintos produkcijos sunaudojama kitų produktų gamybai.</t>
  </si>
  <si>
    <t>Rekomenduojama: kainos prognozuojamu laikotarpiu neturėtų būti didinamos (infliacijos įtaka nevertinama). Jei kainų pokyčiai dėl pareiškėjo kainodaros sprendimų prognozuojami, juos reikia pagrįsti ir paaiškinti.</t>
  </si>
  <si>
    <t>Paaiškinimas rašomas tik tuo atveju, kai kainos ir (ar) pardavimo kiekiai keičiasi.</t>
  </si>
  <si>
    <t>Teikiamos paslaugos pavadinimas.</t>
  </si>
  <si>
    <t>Kitos veiklos pavadinimas.</t>
  </si>
  <si>
    <t>Paramos išmokėjimas už I etapą, data ir suma</t>
  </si>
  <si>
    <t>Paramos išmokėjimas už II etapą, data ir suma</t>
  </si>
  <si>
    <t>Paramos išmokėjimas už III etapą, data ir suma</t>
  </si>
  <si>
    <t>Paramos išmokėjimas už IV etapą, data ir suma</t>
  </si>
  <si>
    <t>Kompensavimo su avansu atveju į paramos sumą įskaičiuojamas avansas.</t>
  </si>
  <si>
    <t>Prašomos paramos dydis turi sutapti su duomenimis paraiškoje.</t>
  </si>
  <si>
    <t>Automatiškai priskiriamos visos darbo užmokečio sąnaudos (3.1.1. lentelė). Jei dalis šių sąnaudų buvo priskirtos ne pardavimų savikainai, jos įvedamos atskirai.</t>
  </si>
  <si>
    <r>
      <t>Automatiškai priskiriamos visos nusidėvėjimo sąnaudos (6</t>
    </r>
    <r>
      <rPr>
        <sz val="9"/>
        <color rgb="FFFF0000"/>
        <rFont val="Calibri"/>
        <family val="2"/>
        <charset val="186"/>
        <scheme val="minor"/>
      </rPr>
      <t xml:space="preserve"> </t>
    </r>
    <r>
      <rPr>
        <sz val="9"/>
        <color theme="1"/>
        <rFont val="Calibri"/>
        <family val="2"/>
        <charset val="186"/>
        <scheme val="minor"/>
      </rPr>
      <t>lentelė). Jei dalis šių sąnaudų buvo priskirtos ne pardavimų savikainai, jos įvedamos atskirai. Prognozuojamais metais visos priskaičiuotos sąnaudos priskiriamos tų metų sąnaudoms.</t>
    </r>
  </si>
  <si>
    <t>Išskiriama išperkamosios nuomos dalis, mokama per ateinančius kalendorinius metus.</t>
  </si>
  <si>
    <t>Išskiriama ilgalaikių paskolų dalis, grąžinama per ateinančius kalendorinius metus.</t>
  </si>
  <si>
    <t>Paskolos, kurių grąžinimo trukmė pagal sutartį, iki 1 metų.</t>
  </si>
  <si>
    <t>Paskolos, kurių grąžinimo trukmė pagal sutartį, ilgesnė nei 1 metai.</t>
  </si>
  <si>
    <t>Pateikiama informacija apie pareiškėjo turimas paskolas iš kredito ir ne kredito įstaigų, taip pat išperkamąją nuomą (lizingą) ataskaitinių metų pabaigoje.</t>
  </si>
  <si>
    <t>Pagal turto pobūdį priskirkite kitai materialaus turto grupei (6 skyrius), pvz., grupei "Pastatai ir statiniai".</t>
  </si>
  <si>
    <t>Pagal turto pobūdį priskirkite kitai materialaus turto grupei (6 skyrius).</t>
  </si>
  <si>
    <t>Paaiškinimas reikalingas tik tada, kai naudojamas kitoks nei 15 proc. tarifas.</t>
  </si>
  <si>
    <t>Prognozuojamu laikotarpiu gali būti planuojamos tik ilgalaikio turto perleidimo pajamos.</t>
  </si>
  <si>
    <t>VERSLO PLANAS 
(SOCIALINIS VERSLAS/BENDRUOMENINIS VERSLAS/VIEŠŲJŲ PASLAUGŲ PERDAVIMAS)</t>
  </si>
  <si>
    <t xml:space="preserve">Įrašykite pareiškėjo pavadinimą </t>
  </si>
  <si>
    <t>Įrašykite adresą ir kontaktinius duomenis</t>
  </si>
  <si>
    <t>Esamos ir planuojamos ekonominės, socialinės/bendruomeninės/viešųjų paslaugų veiklos/-ų apibūdinimas</t>
  </si>
  <si>
    <t>Sekantys metai</t>
  </si>
  <si>
    <t>9.1_nvo</t>
  </si>
  <si>
    <t>9.2_nvo</t>
  </si>
  <si>
    <t>9.3_nvo</t>
  </si>
  <si>
    <t>10_nvo</t>
  </si>
  <si>
    <t>≥ 1 proc.</t>
  </si>
  <si>
    <t>≤ 0,65</t>
  </si>
  <si>
    <t>1.2.3.</t>
  </si>
  <si>
    <t>2.3.</t>
  </si>
  <si>
    <t>Steigimo dokumentuose numatyta socialinė/bendruomeninė misija</t>
  </si>
  <si>
    <t>Nurodomos steigimo dokumentų nuostatos, atliepiančios planuojamą verslą</t>
  </si>
  <si>
    <r>
      <t xml:space="preserve">Apibūdinama esama ir planuojama veikla. Nurodoma, ką ketinama gaminti ir (arba) kokias paslaugas ketinama teikti. Apibūdinamos planuojamų gaminti prekių ir (arba) teikti paslaugų savybės. Paaiškinama, kokią įtaką projekto investicijos turės vykdomai ekonominei veiklai ir jos rezultatams. Jei planuojama vykdyti socialinį verslą, pateikiama informacija, kaip projektas prisideda prie pareiškėjo socialinio verslo tikslų pasiekimo, kokias ir kokiu būdu sprendžia socialines problemas.
</t>
    </r>
    <r>
      <rPr>
        <sz val="9"/>
        <color rgb="FFFF0000"/>
        <rFont val="Calibri"/>
        <family val="2"/>
        <charset val="186"/>
        <scheme val="minor"/>
      </rPr>
      <t>Nurodomi, kokie bus reikalingi leidimai ir/arba licencijos įgyvendinus projektą (jei numatomam verslui vykdyti jie privalomi).</t>
    </r>
  </si>
  <si>
    <t>Verslo schema ir socialinio poveikio procesai</t>
  </si>
  <si>
    <t xml:space="preserve">Apibūdinama verslo vykdymo schema ir socialinio poveikio procesai  (paaiškinamas pvz., funkcijų pasiskirstymas tarp darbuotojų; nurodoma, kokioms verslą apimančioms veiklos dalims bus samdomi subrangovai ir pan.Nurodoma, kaip bus matuojamas socialinio poveikio rezultatas.
</t>
  </si>
  <si>
    <t>Planuojamo gauti pelno reinvestavimo socialiniam poveikiui planas</t>
  </si>
  <si>
    <t>Aprašomas gauto pelno iš vykdomos veiklos reinvestavimo socialinio poveikio tikslams ir rodikliams pasiekti reikalavimai (reinvestavimas apima ir investicijas į verslo infrastruktūros kūrimą, plėtrą, įrangą ar procesus, išskyrus įstatinio kapitalo didinimą (kai taikoma), kai tokios investicijos gali turėti tiesioginės įtakos geresniems socialinio poveikio rezultatams, atitinkamai nurodant reinvestuojamo pelno dalies atitiktį.</t>
  </si>
  <si>
    <r>
      <rPr>
        <b/>
        <sz val="8"/>
        <color theme="1"/>
        <rFont val="Calibri"/>
        <family val="2"/>
        <charset val="186"/>
        <scheme val="minor"/>
      </rPr>
      <t>Socialinio verslo projektas:</t>
    </r>
    <r>
      <rPr>
        <sz val="8"/>
        <color theme="1"/>
        <rFont val="Calibri"/>
        <family val="2"/>
        <charset val="186"/>
        <scheme val="minor"/>
      </rPr>
      <t xml:space="preserve"> Viešasis juridinis asmuo, veikiantis pagal Lietuvos Respublikos viešųjų įstaigų įstatymą arba Lietuvos Respublikos asociacijų įstatymą, kurio veikla atitinka NVO apibrėžtį, yra įgijusi NVO žymą, valdantis  ne mažiau  kaip 51 proc. akcijų ar kt./turi sprendžiamąją galią, kaip nurodyta Gairėse.</t>
    </r>
  </si>
  <si>
    <r>
      <rPr>
        <b/>
        <sz val="8"/>
        <color theme="1"/>
        <rFont val="Calibri"/>
        <family val="2"/>
        <charset val="186"/>
        <scheme val="minor"/>
      </rPr>
      <t>Socialinio verslo projektas:</t>
    </r>
    <r>
      <rPr>
        <sz val="8"/>
        <color theme="1"/>
        <rFont val="Calibri"/>
        <family val="2"/>
        <charset val="186"/>
        <scheme val="minor"/>
      </rPr>
      <t xml:space="preserve"> Labdaros ir paramos fondas, įsteigtas ir veikiantis pagal Lietuvos Respublikos labdaros ir paramos įstatymą, kurio veikla atitinka NVO apibrėžtį ir yra  įgijęs  NVO žymą, valdantis  ne mažiau  kaip 51 proc. akcijų ar kt./turi sprendžiamąją galią, kaip nurodyta Gairėse.</t>
    </r>
  </si>
  <si>
    <r>
      <rPr>
        <b/>
        <sz val="8"/>
        <color theme="1"/>
        <rFont val="Calibri"/>
        <family val="2"/>
        <charset val="186"/>
        <scheme val="minor"/>
      </rPr>
      <t xml:space="preserve">Socialinio verslo projektas: </t>
    </r>
    <r>
      <rPr>
        <sz val="8"/>
        <color theme="1"/>
        <rFont val="Calibri"/>
        <family val="2"/>
        <charset val="186"/>
        <scheme val="minor"/>
      </rPr>
      <t>Religinės bendruomenė ar bendrija, veikianti pagal Religinių bendruomenių ir bendrijų įstatymą, kurios veikla atitinka NVO apibrėžtį ir yra įgijusis NVO žymą, valdantis  ne mažiau  kaip 51 proc. akcijų ar kt./turi sprendžiamąją galią, kaip nurodyta Gairėse.</t>
    </r>
  </si>
  <si>
    <r>
      <rPr>
        <b/>
        <sz val="8"/>
        <color theme="1"/>
        <rFont val="Calibri"/>
        <family val="2"/>
        <charset val="186"/>
        <scheme val="minor"/>
      </rPr>
      <t>Bendruomeninio verslo projektas:</t>
    </r>
    <r>
      <rPr>
        <sz val="8"/>
        <color theme="1"/>
        <rFont val="Calibri"/>
        <family val="2"/>
        <charset val="186"/>
        <scheme val="minor"/>
      </rPr>
      <t xml:space="preserve"> Bendruomeninė organizacija, atitinkanti Lietuvos Respublikos bendruomeninių organizacijų plėtros įstatymą ir projekto paraiškos pateikimo dieną turinti ne mažiau kaip 30 narių (narių sąrašas pateikiamas su projekto paraiška)</t>
    </r>
  </si>
  <si>
    <r>
      <rPr>
        <b/>
        <sz val="8"/>
        <color theme="1"/>
        <rFont val="Calibri"/>
        <family val="2"/>
        <charset val="186"/>
        <scheme val="minor"/>
      </rPr>
      <t>Viešųjų paslaugų perdavimo projektas</t>
    </r>
    <r>
      <rPr>
        <sz val="8"/>
        <color theme="1"/>
        <rFont val="Calibri"/>
        <family val="2"/>
        <charset val="186"/>
        <scheme val="minor"/>
      </rPr>
      <t>: NVO veikla teikia naudą ne tik jos dalyviams, bet ir visuomenei, bei atitinka Lietuvos Respublikos nevyriausybinių organizacijų plėtros įstatymo 8 straipsnio 2 dalies 1, 2, 4 ir 5 punktuose numatytas sąlygas. Pareiškėjo viešųjų paslaugų perdavimo projekte nurodytos viešosios paslaugos atitinka Lietuvos Respublikos vidaus reikalų ministerijos skelbiamą viešųjų paslaugų sąrašą  ir pareiškėjas yra suderinęs su savivaldybe perimamas viešąsias paslaugas (jų dalį) arba informavęs ją apie naujų arba papildomų viešųjų paslaugų teikimą.</t>
    </r>
  </si>
  <si>
    <r>
      <rPr>
        <b/>
        <sz val="8"/>
        <color theme="1"/>
        <rFont val="Calibri"/>
        <family val="2"/>
        <charset val="186"/>
        <scheme val="minor"/>
      </rPr>
      <t>Bendruomeninio verslo projektas:</t>
    </r>
    <r>
      <rPr>
        <sz val="8"/>
        <color theme="1"/>
        <rFont val="Calibri"/>
        <family val="2"/>
        <charset val="186"/>
        <scheme val="minor"/>
      </rPr>
      <t xml:space="preserve"> Kaimo bendruomenė, atitinkanti Lietuvos Respublikos žemės ūkio, maisto ūkio ir kaimo plėtros įstatymą. </t>
    </r>
  </si>
  <si>
    <r>
      <t>*S</t>
    </r>
    <r>
      <rPr>
        <b/>
        <sz val="7"/>
        <color theme="1"/>
        <rFont val="Calibri"/>
        <family val="2"/>
        <charset val="186"/>
        <scheme val="minor"/>
      </rPr>
      <t>ocialinio ir bendruomeninio verslo vykdymo bei viešųjų paslaugų perdavimo projektų, pateiktų pagal Lietuvos žemės ūkio ir kaimo plėtros 2023–2027 metų strateginio plano intervencines priemones, gairės:</t>
    </r>
    <r>
      <rPr>
        <sz val="7"/>
        <color theme="1"/>
        <rFont val="Calibri"/>
        <family val="2"/>
        <charset val="186"/>
        <scheme val="minor"/>
      </rPr>
      <t xml:space="preserve">
Gairėmis turi vadovautis pareiškėjai, rengdami ir teikdami projektų paramos paraiškas, ir  paramos gavėjai, įgyvendindami projektus, finansuojamus pagal SP intervencinę priemonę „Bendruomenių inicijuota vietos plėtra (LEADER)“ (toliau – LEADER) ir vietos plėtros strategijas, įgyvendinamas bendruomenių inicijuotos vietos plėtros būdu (toliau – vietos projektai), ir SP intervencinę priemonę „Sumanieji kaimai“ (toliau – SK), įgyvendinamą pagal sumanaus kaimo strategijas, taip pat vietos veiklos grupės (toliau – VVG) ir institucijos, atliekančios projektų paraiškų atranką, vertinimą ir projektų įgyvendinimo priežiūrą, kai rengiami: 
3.1. socialinio verslo, veikiančio pagal modelį, kai išnaudojant rinkos mechanizmus, pelno siekimas susiejamas su visuomenei naudingais tikslais ir prioritetais, remiamasi socialiai atsakingo verslo bei viešojo ir privataus sektorių partnerystės nuostatomis, taikomos socialinės inovacijos, vietos ir SK projektai; 
3.2. bendruomeninio verslo, veikiančio pagal modelį, kai pagal SP remiama bendruomenės ekonominė veikla vykdoma remiantis socialiai atsakingo verslo nuostatomis, o gaunamas pelnas skiriamas tą veiklą vykdančios organizacijos (išskyrus viešojo sektoriaus organizacijas) veiklai užtikrinti, aktualioms bendruomenės problemoms spręsti, vietos ir SK projektai; 
3.3. viešųjų paslaugų perdavimo projekto, veikiančio pagal modelį, kai viešosios paslaugos (socialinės, švietimo, mokslo, kultūros, sporto ir kitos įstatymų numatytos paslaugos) anksčiau buvo teikiamos valstybės ar savivaldybių įsteigtų specialių įstaigų bei organizacijų, ir yra visa apimtimi ar iš dalies perduodamos teikti organizacijoms (ne biudžetinėms įstaigoms), arba organizacijų (ne biudžetinių įstaigų) organizuojamos naujos viešosios paslaugos, kurios nebuvo teikiamos jų veiklos teritorijoje, tačiau jų poreikis yra, arba viešosios paslaugos yra teikiamos valstybės ar savivaldybių įsteigtų specialių įstaigų bei organizacijų, tačiau jų apimtys nėra pakankamos ar kokybė neatitinka vartotojų lūkesčių (poreikis grindžiamas dokumentais) ir organizacijos (ne biudžetinės įstaigos) imasi teikti jas (visais atvejais turi būti siekiama išmatuojamo teigiamo socialinio poveikio visuomenei ar jos daliai), vietos ir SK projektai.</t>
    </r>
  </si>
  <si>
    <r>
      <rPr>
        <b/>
        <sz val="8"/>
        <color theme="1"/>
        <rFont val="Calibri"/>
        <family val="2"/>
        <charset val="186"/>
        <scheme val="minor"/>
      </rPr>
      <t>Bendruomeninio verslo projektas:</t>
    </r>
    <r>
      <rPr>
        <sz val="8"/>
        <color theme="1"/>
        <rFont val="Calibri"/>
        <family val="2"/>
        <charset val="186"/>
        <scheme val="minor"/>
      </rPr>
      <t xml:space="preserve">  Viešoji įstaiga, kurios pagrindinis steigėjas ir (ar) dalininkas, turintis ne mažiau kaip 51 proc. dalių (vertinama pagal VĮ Registrų centro JAR ir JADIS duomenis), turi būti bendruomeninės organizacijos</t>
    </r>
  </si>
  <si>
    <r>
      <rPr>
        <b/>
        <sz val="8"/>
        <color theme="1"/>
        <rFont val="Calibri"/>
        <family val="2"/>
        <charset val="186"/>
        <scheme val="minor"/>
      </rPr>
      <t>Socialinio verslo projektas:</t>
    </r>
    <r>
      <rPr>
        <sz val="8"/>
        <color theme="1"/>
        <rFont val="Calibri"/>
        <family val="2"/>
        <charset val="186"/>
        <scheme val="minor"/>
      </rPr>
      <t xml:space="preserve"> Juridinis asmuo, kurio steigime ir (ar) valdyme dalyvauja viešieji juridiniai asmenys, atitinkantys Gairių* 10 punkte nurodytas specialiąsias tinkamumo sąlygas pareiškėjams, ir kuris valdo ne mažiau kaip 51 proc. akcijų, pajų ar kitokių dalyvavimą juridinio asmens kapitale žyminčių kapitalo dalių arba tiesiogiai ar netiesiogiai (pagal balsavimo sutartį, balsavimo teisės perleidimo sutartį, įgaliojimą ir pan.) </t>
    </r>
  </si>
  <si>
    <t>Planuojamo verslo rūšis*</t>
  </si>
  <si>
    <t>Planuojamo verslo rūšis</t>
  </si>
  <si>
    <t xml:space="preserve">Socialinis verslas </t>
  </si>
  <si>
    <t>Bendruomeninis verslas</t>
  </si>
  <si>
    <t>Viešųjų paslaugų prieinamumo didinimas (viešųjų paslaugų perdavimas)</t>
  </si>
  <si>
    <t>Ši dalis nepildoma, kai teikiamas viešųjų paslaugų prieinamumo ( viešųjų paslaugų perdavimo) projektas</t>
  </si>
  <si>
    <t>Pažymėta laukelio spalva</t>
  </si>
  <si>
    <t>Paaiškinimas</t>
  </si>
  <si>
    <r>
      <t xml:space="preserve">Privalomai pildomas laukas </t>
    </r>
    <r>
      <rPr>
        <b/>
        <sz val="12"/>
        <color rgb="FFFF0000"/>
        <rFont val="Times New Roman"/>
        <family val="1"/>
        <charset val="186"/>
      </rPr>
      <t>(pildo vietos projekto pareiškėjas)</t>
    </r>
    <r>
      <rPr>
        <sz val="12"/>
        <color theme="1"/>
        <rFont val="Times New Roman"/>
        <family val="1"/>
        <charset val="186"/>
      </rPr>
      <t xml:space="preserve">, suvedama prašoma informacija. </t>
    </r>
  </si>
  <si>
    <r>
      <t xml:space="preserve">Automatizuotas atsakymas, pasirenkamas vienas iš siūlomų variantų </t>
    </r>
    <r>
      <rPr>
        <b/>
        <sz val="12"/>
        <color theme="1"/>
        <rFont val="Times New Roman"/>
        <family val="1"/>
        <charset val="186"/>
      </rPr>
      <t>(</t>
    </r>
    <r>
      <rPr>
        <b/>
        <sz val="12"/>
        <color rgb="FFFF0000"/>
        <rFont val="Times New Roman"/>
        <family val="1"/>
        <charset val="186"/>
      </rPr>
      <t>pildo vietos projekto pareiškėjas)</t>
    </r>
    <r>
      <rPr>
        <b/>
        <sz val="12"/>
        <color theme="1"/>
        <rFont val="Times New Roman"/>
        <family val="1"/>
        <charset val="186"/>
      </rPr>
      <t>.</t>
    </r>
    <r>
      <rPr>
        <sz val="12"/>
        <color theme="1"/>
        <rFont val="Times New Roman"/>
        <family val="1"/>
        <charset val="186"/>
      </rPr>
      <t xml:space="preserve"> Siūlomas variantas pasirenkamas su dešinėje laukelio pusėje esančia rodykle. </t>
    </r>
  </si>
  <si>
    <t>Laukas nepildomas. Skaičiavimui suvesta formulė arba tekstas.</t>
  </si>
  <si>
    <t>Turi būti tokios spalvos</t>
  </si>
  <si>
    <t>visus paversti mėlynais</t>
  </si>
  <si>
    <t>visus paversti žaliais kaip paraiškos formoje</t>
  </si>
  <si>
    <t>visus paversti pilkais</t>
  </si>
  <si>
    <t xml:space="preserve">pirmiausia visur nuimti žalią verslo plane </t>
  </si>
  <si>
    <t>tegu lieka</t>
  </si>
  <si>
    <t>Baltos spalvos lengelis užrakintas ir negali būti redaguojamas. Laukas nepildomas. Skaičiavimui suvesta formulė arba tekstas.</t>
  </si>
  <si>
    <t xml:space="preserve">Žalsvos spalvos fone pasirenkama reikšmė iš atverčiamo meniu. Automatizuotas atsakymas, pasirenkamas vienas iš siūlomų variantų (pildo vietos projekto pareiškėjas). Siūlomas variantas pasirenkamas su dešinėje laukelio pusėje esančia rodykle. </t>
  </si>
  <si>
    <t xml:space="preserve">Verslo plane visa informacija rašoma tik į pilkos spalvos langelius. Privalomai pildomas laukas (pildo vietos projekto pareiškėjas), suvedama prašoma informacija. </t>
  </si>
  <si>
    <t>(Verslo plano pagal Lietuvos žemės ūkio ir kaimo plėtros 2023–2027 metų strateginio plano intervencinę  priemonę „Bendruomenių inicijuota vietos plėtra (LEADER)“ forma, skirta socialinio verslo / bendruomeninio verslo / viešųjų paslaugų perdavimo projektams)</t>
  </si>
  <si>
    <t>jdnv0wri'Fp odk/ls</t>
  </si>
  <si>
    <t xml:space="preserve"> Nr. FR-2157</t>
  </si>
  <si>
    <t xml:space="preserve">Verslo planas teikiamas pagal Alytaus rajono vietos veiklos grupės „Alytaus rajono ir Birštono savivaldybių kaimiškosios teritorijos  bendruomenių inicijuotos vietos plėtros strategija 2023 - 2029  metams“  Nr.20VS - PV-23-1-01764-PR001  3 priemonę "Teminių kaimų kūrimas ir vietos produktų populiarinimas"  Kvietimas teikti vietos  projektus Nr.13   (ALYT-LEADER-07-13) </t>
  </si>
  <si>
    <t>2026 05 04</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</si>
</sst>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64" formatCode="yyyy/mm/dd;@"/>
    <numFmt numFmtId="165" formatCode="_(* ###0_);_(* \(\ ###0\);_(* &quot;-&quot;??_);_(@_)"/>
    <numFmt numFmtId="166" formatCode="0;\-0;&quot;-&quot;"/>
    <numFmt numFmtId="167" formatCode="_(* #,##0_);_(* \(#,##0\);_(* &quot;-&quot;_);_(@_)"/>
    <numFmt numFmtId="168" formatCode="000"/>
  </numFmts>
  <fonts count="68" x14ac:knownFonts="1">
    <font>
      <sz val="11"/>
      <color theme="1"/>
      <name val="Calibri"/>
      <family val="2"/>
      <charset val="186"/>
      <scheme val="minor"/>
    </font>
    <font>
      <sz val="11"/>
      <color theme="1"/>
      <name val="Calibri"/>
      <family val="2"/>
      <charset val="186"/>
      <scheme val="minor"/>
    </font>
    <font>
      <sz val="11"/>
      <color theme="1"/>
      <name val="Times New Roman"/>
      <family val="1"/>
      <charset val="186"/>
    </font>
    <font>
      <sz val="10"/>
      <color theme="1"/>
      <name val="Times New Roman"/>
      <family val="1"/>
      <charset val="186"/>
    </font>
    <font>
      <b/>
      <sz val="11"/>
      <color theme="1"/>
      <name val="Times New Roman"/>
      <family val="1"/>
      <charset val="186"/>
    </font>
    <font>
      <i/>
      <sz val="11"/>
      <color theme="1"/>
      <name val="Times New Roman"/>
      <family val="1"/>
      <charset val="186"/>
    </font>
    <font>
      <sz val="9"/>
      <color theme="1"/>
      <name val="Times New Roman"/>
      <family val="1"/>
      <charset val="186"/>
    </font>
    <font>
      <i/>
      <sz val="11"/>
      <color rgb="FFFF0000"/>
      <name val="Times New Roman"/>
      <family val="1"/>
      <charset val="186"/>
    </font>
    <font>
      <b/>
      <sz val="9"/>
      <color theme="1"/>
      <name val="Times New Roman"/>
      <family val="1"/>
      <charset val="186"/>
    </font>
    <font>
      <sz val="11"/>
      <color rgb="FFFF0000"/>
      <name val="Times New Roman"/>
      <family val="1"/>
      <charset val="186"/>
    </font>
    <font>
      <i/>
      <sz val="9"/>
      <color rgb="FFFF0000"/>
      <name val="Times New Roman"/>
      <family val="1"/>
      <charset val="186"/>
    </font>
    <font>
      <b/>
      <sz val="10"/>
      <color theme="1"/>
      <name val="Times New Roman"/>
      <family val="1"/>
      <charset val="186"/>
    </font>
    <font>
      <sz val="8"/>
      <name val="Calibri"/>
      <family val="2"/>
      <charset val="186"/>
      <scheme val="minor"/>
    </font>
    <font>
      <i/>
      <sz val="9"/>
      <color theme="1"/>
      <name val="Times New Roman"/>
      <family val="1"/>
      <charset val="186"/>
    </font>
    <font>
      <b/>
      <i/>
      <sz val="9"/>
      <color theme="1"/>
      <name val="Times New Roman"/>
      <family val="1"/>
      <charset val="186"/>
    </font>
    <font>
      <b/>
      <sz val="11"/>
      <color rgb="FFFF0000"/>
      <name val="Times New Roman"/>
      <family val="1"/>
      <charset val="186"/>
    </font>
    <font>
      <b/>
      <sz val="10"/>
      <color rgb="FF000000"/>
      <name val="Times New Roman"/>
      <family val="1"/>
      <charset val="186"/>
    </font>
    <font>
      <sz val="7"/>
      <color theme="0" tint="-0.499984740745262"/>
      <name val="Times New Roman"/>
      <family val="1"/>
      <charset val="186"/>
    </font>
    <font>
      <sz val="9"/>
      <color theme="5" tint="0.39997558519241921"/>
      <name val="Times New Roman"/>
      <family val="1"/>
      <charset val="186"/>
    </font>
    <font>
      <b/>
      <sz val="9"/>
      <color theme="5" tint="0.39997558519241921"/>
      <name val="Times New Roman"/>
      <family val="1"/>
      <charset val="186"/>
    </font>
    <font>
      <sz val="11"/>
      <name val="Times New Roman"/>
      <family val="1"/>
      <charset val="186"/>
    </font>
    <font>
      <sz val="9"/>
      <name val="Times New Roman"/>
      <family val="1"/>
      <charset val="186"/>
    </font>
    <font>
      <sz val="7"/>
      <color theme="1"/>
      <name val="Times New Roman"/>
      <family val="1"/>
      <charset val="186"/>
    </font>
    <font>
      <b/>
      <sz val="11"/>
      <color theme="1"/>
      <name val="Calibri"/>
      <family val="2"/>
      <charset val="186"/>
      <scheme val="minor"/>
    </font>
    <font>
      <b/>
      <sz val="12"/>
      <color theme="1"/>
      <name val="Times New Roman"/>
      <family val="1"/>
      <charset val="186"/>
    </font>
    <font>
      <sz val="9"/>
      <color rgb="FFC00000"/>
      <name val="Times New Roman"/>
      <family val="1"/>
      <charset val="186"/>
    </font>
    <font>
      <b/>
      <sz val="11"/>
      <color rgb="FF000000"/>
      <name val="Calibri"/>
      <family val="2"/>
      <charset val="186"/>
      <scheme val="minor"/>
    </font>
    <font>
      <sz val="11"/>
      <color rgb="FF000000"/>
      <name val="Calibri"/>
      <family val="2"/>
      <charset val="186"/>
      <scheme val="minor"/>
    </font>
    <font>
      <sz val="8"/>
      <color theme="1"/>
      <name val="Calibri"/>
      <family val="2"/>
      <charset val="186"/>
      <scheme val="minor"/>
    </font>
    <font>
      <b/>
      <sz val="12"/>
      <color rgb="FF000000"/>
      <name val="Calibri"/>
      <family val="2"/>
      <charset val="186"/>
      <scheme val="minor"/>
    </font>
    <font>
      <sz val="9"/>
      <color theme="1"/>
      <name val="Calibri"/>
      <family val="2"/>
      <charset val="186"/>
      <scheme val="minor"/>
    </font>
    <font>
      <b/>
      <sz val="11"/>
      <name val="Calibri"/>
      <family val="2"/>
      <charset val="186"/>
      <scheme val="minor"/>
    </font>
    <font>
      <sz val="11"/>
      <name val="Calibri"/>
      <family val="2"/>
      <charset val="186"/>
      <scheme val="minor"/>
    </font>
    <font>
      <b/>
      <sz val="9"/>
      <color theme="1"/>
      <name val="Calibri"/>
      <family val="2"/>
      <charset val="186"/>
      <scheme val="minor"/>
    </font>
    <font>
      <sz val="6"/>
      <color theme="1"/>
      <name val="Times New Roman"/>
      <family val="1"/>
      <charset val="186"/>
    </font>
    <font>
      <sz val="9"/>
      <color rgb="FFC00000"/>
      <name val="Calibri"/>
      <family val="2"/>
      <charset val="186"/>
      <scheme val="minor"/>
    </font>
    <font>
      <sz val="9"/>
      <color rgb="FF0070C0"/>
      <name val="Times New Roman"/>
      <family val="1"/>
      <charset val="186"/>
    </font>
    <font>
      <sz val="10"/>
      <color rgb="FF000000"/>
      <name val="Calibri"/>
      <family val="2"/>
      <charset val="186"/>
      <scheme val="minor"/>
    </font>
    <font>
      <b/>
      <sz val="14"/>
      <color rgb="FF000000"/>
      <name val="Calibri"/>
      <family val="2"/>
      <charset val="186"/>
      <scheme val="minor"/>
    </font>
    <font>
      <vertAlign val="superscript"/>
      <sz val="11"/>
      <color theme="1"/>
      <name val="Calibri"/>
      <family val="2"/>
      <charset val="186"/>
      <scheme val="minor"/>
    </font>
    <font>
      <sz val="9"/>
      <color rgb="FFFF0000"/>
      <name val="Calibri"/>
      <family val="2"/>
      <charset val="186"/>
      <scheme val="minor"/>
    </font>
    <font>
      <b/>
      <sz val="11"/>
      <color theme="4"/>
      <name val="Times New Roman"/>
      <family val="1"/>
      <charset val="186"/>
    </font>
    <font>
      <b/>
      <sz val="9"/>
      <color theme="4"/>
      <name val="Times New Roman"/>
      <family val="1"/>
      <charset val="186"/>
    </font>
    <font>
      <sz val="9"/>
      <color rgb="FF0070C0"/>
      <name val="Calibri"/>
      <family val="2"/>
      <charset val="186"/>
      <scheme val="minor"/>
    </font>
    <font>
      <i/>
      <sz val="9"/>
      <color theme="1"/>
      <name val="Calibri"/>
      <family val="2"/>
      <charset val="186"/>
      <scheme val="minor"/>
    </font>
    <font>
      <b/>
      <sz val="11"/>
      <color theme="0"/>
      <name val="Calibri"/>
      <family val="2"/>
      <charset val="186"/>
      <scheme val="minor"/>
    </font>
    <font>
      <b/>
      <sz val="7"/>
      <color theme="1"/>
      <name val="Times New Roman"/>
      <family val="1"/>
      <charset val="186"/>
    </font>
    <font>
      <sz val="9"/>
      <color theme="5" tint="-0.249977111117893"/>
      <name val="Calibri"/>
      <family val="2"/>
      <charset val="186"/>
      <scheme val="minor"/>
    </font>
    <font>
      <u/>
      <sz val="11"/>
      <color theme="10"/>
      <name val="Calibri"/>
      <family val="2"/>
      <charset val="186"/>
      <scheme val="minor"/>
    </font>
    <font>
      <sz val="9"/>
      <color theme="4"/>
      <name val="Calibri"/>
      <family val="2"/>
      <charset val="186"/>
      <scheme val="minor"/>
    </font>
    <font>
      <sz val="10"/>
      <color theme="1"/>
      <name val="Calibri"/>
      <family val="2"/>
      <charset val="186"/>
      <scheme val="minor"/>
    </font>
    <font>
      <sz val="9"/>
      <name val="Calibri"/>
      <family val="2"/>
      <charset val="186"/>
      <scheme val="minor"/>
    </font>
    <font>
      <sz val="9"/>
      <color theme="5" tint="-0.24994659260841701"/>
      <name val="Times New Roman"/>
      <family val="1"/>
      <charset val="186"/>
    </font>
    <font>
      <i/>
      <sz val="8"/>
      <color theme="1"/>
      <name val="Calibri"/>
      <family val="2"/>
      <charset val="186"/>
      <scheme val="minor"/>
    </font>
    <font>
      <sz val="8"/>
      <color theme="1"/>
      <name val="Times New Roman"/>
      <family val="1"/>
      <charset val="186"/>
    </font>
    <font>
      <sz val="9"/>
      <color rgb="FF00B050"/>
      <name val="Times New Roman"/>
      <family val="1"/>
      <charset val="186"/>
    </font>
    <font>
      <sz val="11"/>
      <color rgb="FF00B050"/>
      <name val="Calibri"/>
      <family val="2"/>
      <charset val="186"/>
      <scheme val="minor"/>
    </font>
    <font>
      <sz val="11"/>
      <color rgb="FFFF0000"/>
      <name val="Calibri"/>
      <family val="2"/>
      <charset val="186"/>
      <scheme val="minor"/>
    </font>
    <font>
      <i/>
      <sz val="9"/>
      <name val="Calibri"/>
      <family val="2"/>
      <charset val="186"/>
      <scheme val="minor"/>
    </font>
    <font>
      <sz val="12"/>
      <color theme="1"/>
      <name val="Times New Roman"/>
      <family val="1"/>
      <charset val="186"/>
    </font>
    <font>
      <b/>
      <sz val="8"/>
      <color theme="1"/>
      <name val="Calibri"/>
      <family val="2"/>
      <charset val="186"/>
      <scheme val="minor"/>
    </font>
    <font>
      <sz val="7"/>
      <color theme="1"/>
      <name val="Calibri"/>
      <family val="2"/>
      <charset val="186"/>
      <scheme val="minor"/>
    </font>
    <font>
      <b/>
      <sz val="7"/>
      <color theme="1"/>
      <name val="Calibri"/>
      <family val="2"/>
      <charset val="186"/>
      <scheme val="minor"/>
    </font>
    <font>
      <sz val="9"/>
      <color rgb="FFFF0000"/>
      <name val="Times New Roman"/>
      <family val="1"/>
      <charset val="186"/>
    </font>
    <font>
      <b/>
      <sz val="12"/>
      <color rgb="FFFF0000"/>
      <name val="Times New Roman"/>
      <family val="1"/>
      <charset val="186"/>
    </font>
    <font>
      <sz val="7"/>
      <color theme="0"/>
      <name val="Times New Roman"/>
      <family val="1"/>
      <charset val="186"/>
    </font>
    <font>
      <b/>
      <sz val="9"/>
      <name val="Times New Roman"/>
      <family val="1"/>
      <charset val="186"/>
    </font>
    <font>
      <sz val="11"/>
      <color rgb="FF000000"/>
      <name val="Calibri"/>
      <family val="2"/>
      <charset val="186"/>
    </font>
  </fonts>
  <fills count="15">
    <fill>
      <patternFill patternType="none"/>
    </fill>
    <fill>
      <patternFill patternType="gray125"/>
    </fill>
    <fill>
      <patternFill patternType="solid">
        <fgColor theme="0" tint="-4.9989318521683403E-2"/>
        <bgColor indexed="64"/>
      </patternFill>
    </fill>
    <fill>
      <patternFill patternType="solid">
        <fgColor theme="9" tint="0.79998168889431442"/>
        <bgColor indexed="64"/>
      </patternFill>
    </fill>
    <fill>
      <patternFill patternType="solid">
        <fgColor theme="0" tint="-0.14999847407452621"/>
        <bgColor indexed="64"/>
      </patternFill>
    </fill>
    <fill>
      <patternFill patternType="solid">
        <fgColor rgb="FFFFCDCD"/>
        <bgColor indexed="64"/>
      </patternFill>
    </fill>
    <fill>
      <patternFill patternType="solid">
        <fgColor rgb="FFFFF0D2"/>
        <bgColor indexed="64"/>
      </patternFill>
    </fill>
    <fill>
      <patternFill patternType="solid">
        <fgColor theme="1"/>
        <bgColor indexed="64"/>
      </patternFill>
    </fill>
    <fill>
      <patternFill patternType="solid">
        <fgColor rgb="FFFFE69B"/>
        <bgColor indexed="64"/>
      </patternFill>
    </fill>
    <fill>
      <patternFill patternType="solid">
        <fgColor theme="0"/>
        <bgColor indexed="64"/>
      </patternFill>
    </fill>
    <fill>
      <patternFill patternType="solid">
        <fgColor theme="4" tint="0.79998168889431442"/>
        <bgColor indexed="64"/>
      </patternFill>
    </fill>
    <fill>
      <patternFill patternType="solid">
        <fgColor theme="4" tint="0.79998168889431442"/>
        <bgColor rgb="FFD9E2F3"/>
      </patternFill>
    </fill>
    <fill>
      <patternFill patternType="solid">
        <fgColor theme="2" tint="-4.9989318521683403E-2"/>
        <bgColor rgb="FFD6DCE4"/>
      </patternFill>
    </fill>
    <fill>
      <patternFill patternType="solid">
        <fgColor theme="2" tint="-4.9989318521683403E-2"/>
        <bgColor indexed="64"/>
      </patternFill>
    </fill>
    <fill>
      <patternFill patternType="solid">
        <fgColor theme="7" tint="0.79998168889431442"/>
        <bgColor indexed="64"/>
      </patternFill>
    </fill>
  </fills>
  <borders count="36">
    <border>
      <left/>
      <right/>
      <top/>
      <bottom/>
      <diagonal/>
    </border>
    <border>
      <left/>
      <right/>
      <top/>
      <bottom style="hair">
        <color indexed="64"/>
      </bottom>
      <diagonal/>
    </border>
    <border>
      <left/>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style="double">
        <color indexed="64"/>
      </bottom>
      <diagonal/>
    </border>
    <border>
      <left/>
      <right style="thin">
        <color indexed="64"/>
      </right>
      <top/>
      <bottom style="double">
        <color indexed="64"/>
      </bottom>
      <diagonal/>
    </border>
    <border>
      <left style="thin">
        <color indexed="64"/>
      </left>
      <right style="thin">
        <color indexed="64"/>
      </right>
      <top/>
      <bottom style="double">
        <color indexed="64"/>
      </bottom>
      <diagonal/>
    </border>
    <border>
      <left style="thin">
        <color indexed="64"/>
      </left>
      <right style="thin">
        <color indexed="64"/>
      </right>
      <top style="thin">
        <color indexed="64"/>
      </top>
      <bottom style="double">
        <color indexed="64"/>
      </bottom>
      <diagonal/>
    </border>
    <border>
      <left style="thin">
        <color indexed="64"/>
      </left>
      <right/>
      <top style="thin">
        <color indexed="64"/>
      </top>
      <bottom style="double">
        <color indexed="64"/>
      </bottom>
      <diagonal/>
    </border>
    <border>
      <left style="thin">
        <color indexed="64"/>
      </left>
      <right style="thin">
        <color indexed="64"/>
      </right>
      <top/>
      <bottom style="thin">
        <color indexed="64"/>
      </bottom>
      <diagonal/>
    </border>
    <border>
      <left style="thin">
        <color indexed="64"/>
      </left>
      <right style="thin">
        <color indexed="64"/>
      </right>
      <top/>
      <bottom style="medium">
        <color indexed="64"/>
      </bottom>
      <diagonal/>
    </border>
    <border>
      <left style="thin">
        <color indexed="64"/>
      </left>
      <right style="thin">
        <color indexed="64"/>
      </right>
      <top style="thin">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style="medium">
        <color indexed="64"/>
      </bottom>
      <diagonal/>
    </border>
    <border>
      <left style="thin">
        <color indexed="64"/>
      </left>
      <right/>
      <top/>
      <bottom style="thin">
        <color indexed="64"/>
      </bottom>
      <diagonal/>
    </border>
    <border>
      <left/>
      <right/>
      <top style="double">
        <color indexed="64"/>
      </top>
      <bottom/>
      <diagonal/>
    </border>
    <border>
      <left/>
      <right style="thin">
        <color indexed="64"/>
      </right>
      <top style="double">
        <color indexed="64"/>
      </top>
      <bottom style="thin">
        <color indexed="64"/>
      </bottom>
      <diagonal/>
    </border>
    <border>
      <left/>
      <right style="thin">
        <color indexed="64"/>
      </right>
      <top/>
      <bottom/>
      <diagonal/>
    </border>
    <border>
      <left style="thin">
        <color indexed="64"/>
      </left>
      <right style="thin">
        <color theme="5" tint="0.39997558519241921"/>
      </right>
      <top style="thin">
        <color indexed="64"/>
      </top>
      <bottom style="thin">
        <color indexed="64"/>
      </bottom>
      <diagonal/>
    </border>
    <border>
      <left/>
      <right/>
      <top style="thin">
        <color indexed="64"/>
      </top>
      <bottom/>
      <diagonal/>
    </border>
    <border>
      <left/>
      <right/>
      <top style="hair">
        <color indexed="64"/>
      </top>
      <bottom style="thin">
        <color indexed="64"/>
      </bottom>
      <diagonal/>
    </border>
    <border>
      <left/>
      <right style="thin">
        <color indexed="64"/>
      </right>
      <top style="thin">
        <color indexed="64"/>
      </top>
      <bottom style="double">
        <color indexed="64"/>
      </bottom>
      <diagonal/>
    </border>
    <border>
      <left/>
      <right/>
      <top style="thin">
        <color indexed="64"/>
      </top>
      <bottom style="double">
        <color indexed="64"/>
      </bottom>
      <diagonal/>
    </border>
    <border>
      <left/>
      <right/>
      <top/>
      <bottom style="double">
        <color indexed="64"/>
      </bottom>
      <diagonal/>
    </border>
    <border>
      <left/>
      <right/>
      <top style="double">
        <color indexed="64"/>
      </top>
      <bottom style="thin">
        <color indexed="64"/>
      </bottom>
      <diagonal/>
    </border>
    <border>
      <left style="thin">
        <color indexed="64"/>
      </left>
      <right style="thin">
        <color indexed="64"/>
      </right>
      <top style="double">
        <color indexed="64"/>
      </top>
      <bottom style="thin">
        <color indexed="64"/>
      </bottom>
      <diagonal/>
    </border>
    <border>
      <left style="thin">
        <color indexed="64"/>
      </left>
      <right style="thin">
        <color indexed="64"/>
      </right>
      <top style="double">
        <color indexed="64"/>
      </top>
      <bottom style="double">
        <color indexed="64"/>
      </bottom>
      <diagonal/>
    </border>
    <border>
      <left style="thin">
        <color auto="1"/>
      </left>
      <right/>
      <top/>
      <bottom/>
      <diagonal/>
    </border>
    <border>
      <left style="thin">
        <color indexed="64"/>
      </left>
      <right/>
      <top style="double">
        <color indexed="64"/>
      </top>
      <bottom/>
      <diagonal/>
    </border>
    <border>
      <left style="thin">
        <color indexed="64"/>
      </left>
      <right style="thin">
        <color theme="5" tint="0.39997558519241921"/>
      </right>
      <top style="double">
        <color indexed="64"/>
      </top>
      <bottom style="double">
        <color indexed="64"/>
      </bottom>
      <diagonal/>
    </border>
  </borders>
  <cellStyleXfs count="3">
    <xf numFmtId="0" fontId="0" fillId="0" borderId="0"/>
    <xf numFmtId="9" fontId="1" fillId="0" borderId="0" applyFont="0" applyFill="0" applyBorder="0" applyAlignment="0" applyProtection="0"/>
    <xf numFmtId="0" fontId="48" fillId="0" borderId="0" applyNumberFormat="0" applyFill="0" applyBorder="0" applyAlignment="0" applyProtection="0"/>
  </cellStyleXfs>
  <cellXfs count="559">
    <xf numFmtId="0" fontId="0" fillId="0" borderId="0" xfId="0"/>
    <xf numFmtId="0" fontId="2" fillId="0" borderId="0" xfId="0" applyFont="1" applyAlignment="1">
      <alignment vertical="top" wrapText="1"/>
    </xf>
    <xf numFmtId="0" fontId="4" fillId="0" borderId="0" xfId="0" applyFont="1" applyAlignment="1">
      <alignment vertical="top"/>
    </xf>
    <xf numFmtId="0" fontId="2" fillId="0" borderId="0" xfId="0" applyFont="1" applyAlignment="1">
      <alignment vertical="top"/>
    </xf>
    <xf numFmtId="0" fontId="2" fillId="0" borderId="0" xfId="0" applyFont="1" applyAlignment="1" applyProtection="1">
      <alignment vertical="top"/>
      <protection locked="0"/>
    </xf>
    <xf numFmtId="0" fontId="5" fillId="0" borderId="0" xfId="0" applyFont="1" applyAlignment="1">
      <alignment vertical="top"/>
    </xf>
    <xf numFmtId="0" fontId="4" fillId="0" borderId="0" xfId="0" applyFont="1" applyAlignment="1" applyProtection="1">
      <alignment horizontal="left" vertical="top"/>
      <protection locked="0"/>
    </xf>
    <xf numFmtId="0" fontId="4" fillId="0" borderId="0" xfId="0" applyFont="1" applyAlignment="1">
      <alignment horizontal="left" vertical="top"/>
    </xf>
    <xf numFmtId="0" fontId="2" fillId="0" borderId="0" xfId="0" applyFont="1" applyAlignment="1">
      <alignment horizontal="left" vertical="center"/>
    </xf>
    <xf numFmtId="0" fontId="2" fillId="0" borderId="0" xfId="0" applyFont="1" applyAlignment="1">
      <alignment horizontal="center" vertical="center"/>
    </xf>
    <xf numFmtId="0" fontId="2" fillId="0" borderId="0" xfId="0" applyFont="1" applyAlignment="1" applyProtection="1">
      <alignment horizontal="left" vertical="top"/>
      <protection locked="0"/>
    </xf>
    <xf numFmtId="0" fontId="2" fillId="0" borderId="0" xfId="0" applyFont="1" applyAlignment="1">
      <alignment horizontal="left" vertical="top"/>
    </xf>
    <xf numFmtId="0" fontId="7" fillId="0" borderId="0" xfId="0" applyFont="1" applyAlignment="1" applyProtection="1">
      <alignment horizontal="left" vertical="top"/>
      <protection locked="0"/>
    </xf>
    <xf numFmtId="0" fontId="6" fillId="0" borderId="3" xfId="0" applyFont="1" applyBorder="1" applyAlignment="1">
      <alignment horizontal="left" vertical="center" wrapText="1"/>
    </xf>
    <xf numFmtId="0" fontId="6" fillId="0" borderId="3" xfId="0" applyFont="1" applyBorder="1" applyAlignment="1">
      <alignment horizontal="center" vertical="center" wrapText="1"/>
    </xf>
    <xf numFmtId="0" fontId="7" fillId="0" borderId="0" xfId="0" applyFont="1" applyAlignment="1">
      <alignment horizontal="left" vertical="top"/>
    </xf>
    <xf numFmtId="0" fontId="9" fillId="0" borderId="0" xfId="0" applyFont="1" applyAlignment="1" applyProtection="1">
      <alignment horizontal="left" vertical="top"/>
      <protection locked="0"/>
    </xf>
    <xf numFmtId="0" fontId="9" fillId="0" borderId="0" xfId="0" applyFont="1" applyAlignment="1">
      <alignment horizontal="left" vertical="top"/>
    </xf>
    <xf numFmtId="0" fontId="6" fillId="0" borderId="3" xfId="0" applyFont="1" applyBorder="1" applyAlignment="1">
      <alignment vertical="center" wrapText="1"/>
    </xf>
    <xf numFmtId="0" fontId="6" fillId="0" borderId="0" xfId="0" applyFont="1" applyAlignment="1" applyProtection="1">
      <alignment horizontal="left" vertical="top"/>
      <protection locked="0"/>
    </xf>
    <xf numFmtId="0" fontId="6" fillId="0" borderId="0" xfId="0" applyFont="1" applyAlignment="1">
      <alignment horizontal="left" vertical="top"/>
    </xf>
    <xf numFmtId="0" fontId="6" fillId="0" borderId="3" xfId="0" applyFont="1" applyBorder="1" applyAlignment="1">
      <alignment horizontal="left" vertical="center"/>
    </xf>
    <xf numFmtId="0" fontId="6" fillId="0" borderId="9" xfId="0" applyFont="1" applyBorder="1" applyAlignment="1">
      <alignment horizontal="left" vertical="center" wrapText="1"/>
    </xf>
    <xf numFmtId="0" fontId="10" fillId="0" borderId="0" xfId="0" applyFont="1" applyAlignment="1">
      <alignment horizontal="left" vertical="top"/>
    </xf>
    <xf numFmtId="0" fontId="6" fillId="0" borderId="5" xfId="0" applyFont="1" applyBorder="1" applyAlignment="1">
      <alignment horizontal="left" vertical="center" wrapText="1"/>
    </xf>
    <xf numFmtId="0" fontId="3" fillId="0" borderId="0" xfId="0" applyFont="1" applyAlignment="1" applyProtection="1">
      <alignment horizontal="left" vertical="top"/>
      <protection locked="0"/>
    </xf>
    <xf numFmtId="0" fontId="3" fillId="0" borderId="0" xfId="0" applyFont="1" applyAlignment="1">
      <alignment horizontal="left" vertical="top"/>
    </xf>
    <xf numFmtId="0" fontId="6" fillId="0" borderId="3" xfId="0" applyFont="1" applyBorder="1" applyAlignment="1">
      <alignment horizontal="left" vertical="top"/>
    </xf>
    <xf numFmtId="0" fontId="6" fillId="0" borderId="3" xfId="0" applyFont="1" applyBorder="1" applyAlignment="1">
      <alignment horizontal="left" vertical="top" wrapText="1" indent="1"/>
    </xf>
    <xf numFmtId="0" fontId="13" fillId="0" borderId="3" xfId="0" applyFont="1" applyBorder="1" applyAlignment="1">
      <alignment horizontal="left" vertical="top" indent="1"/>
    </xf>
    <xf numFmtId="0" fontId="6" fillId="0" borderId="3" xfId="0" applyFont="1" applyBorder="1" applyAlignment="1">
      <alignment horizontal="left" vertical="top" indent="1"/>
    </xf>
    <xf numFmtId="0" fontId="8" fillId="0" borderId="3" xfId="0" applyFont="1" applyBorder="1" applyAlignment="1">
      <alignment horizontal="left" vertical="top" indent="1"/>
    </xf>
    <xf numFmtId="0" fontId="5" fillId="0" borderId="0" xfId="0" applyFont="1" applyAlignment="1">
      <alignment horizontal="left" vertical="top"/>
    </xf>
    <xf numFmtId="0" fontId="8" fillId="0" borderId="13" xfId="0" applyFont="1" applyBorder="1" applyAlignment="1">
      <alignment horizontal="left" vertical="top" indent="1"/>
    </xf>
    <xf numFmtId="0" fontId="13" fillId="0" borderId="3" xfId="0" applyFont="1" applyBorder="1" applyAlignment="1">
      <alignment horizontal="left" vertical="top"/>
    </xf>
    <xf numFmtId="0" fontId="13" fillId="0" borderId="13" xfId="0" applyFont="1" applyBorder="1" applyAlignment="1">
      <alignment horizontal="left" vertical="top"/>
    </xf>
    <xf numFmtId="0" fontId="4" fillId="0" borderId="0" xfId="0" applyFont="1" applyAlignment="1" applyProtection="1">
      <alignment vertical="top"/>
      <protection locked="0"/>
    </xf>
    <xf numFmtId="0" fontId="15" fillId="0" borderId="0" xfId="0" applyFont="1" applyAlignment="1" applyProtection="1">
      <alignment horizontal="left" vertical="top"/>
      <protection locked="0"/>
    </xf>
    <xf numFmtId="0" fontId="2" fillId="0" borderId="15" xfId="0" applyFont="1" applyBorder="1" applyAlignment="1">
      <alignment vertical="center"/>
    </xf>
    <xf numFmtId="0" fontId="2" fillId="0" borderId="3" xfId="0" applyFont="1" applyBorder="1" applyAlignment="1">
      <alignment vertical="center"/>
    </xf>
    <xf numFmtId="0" fontId="9" fillId="0" borderId="0" xfId="0" applyFont="1" applyAlignment="1">
      <alignment vertical="top"/>
    </xf>
    <xf numFmtId="0" fontId="6" fillId="0" borderId="3" xfId="0" applyFont="1" applyBorder="1" applyAlignment="1">
      <alignment horizontal="left" vertical="top" wrapText="1"/>
    </xf>
    <xf numFmtId="2" fontId="2" fillId="0" borderId="0" xfId="0" applyNumberFormat="1" applyFont="1" applyAlignment="1">
      <alignment horizontal="left" vertical="top"/>
    </xf>
    <xf numFmtId="0" fontId="17" fillId="0" borderId="0" xfId="0" applyFont="1" applyAlignment="1">
      <alignment horizontal="right" vertical="center" wrapText="1"/>
    </xf>
    <xf numFmtId="0" fontId="15" fillId="0" borderId="0" xfId="0" applyFont="1" applyAlignment="1" applyProtection="1">
      <alignment vertical="top"/>
      <protection locked="0"/>
    </xf>
    <xf numFmtId="0" fontId="6" fillId="0" borderId="6" xfId="0" applyFont="1" applyBorder="1" applyAlignment="1">
      <alignment horizontal="center" vertical="center" wrapText="1"/>
    </xf>
    <xf numFmtId="2" fontId="2" fillId="0" borderId="0" xfId="0" applyNumberFormat="1" applyFont="1" applyAlignment="1" applyProtection="1">
      <alignment vertical="top"/>
      <protection locked="0"/>
    </xf>
    <xf numFmtId="0" fontId="9" fillId="0" borderId="0" xfId="0" applyFont="1" applyAlignment="1" applyProtection="1">
      <alignment vertical="top"/>
      <protection locked="0"/>
    </xf>
    <xf numFmtId="0" fontId="6" fillId="0" borderId="3" xfId="0" applyFont="1" applyBorder="1" applyAlignment="1">
      <alignment vertical="center"/>
    </xf>
    <xf numFmtId="0" fontId="20" fillId="0" borderId="0" xfId="0" applyFont="1" applyAlignment="1" applyProtection="1">
      <alignment vertical="top"/>
      <protection locked="0"/>
    </xf>
    <xf numFmtId="0" fontId="5" fillId="0" borderId="0" xfId="0" applyFont="1" applyAlignment="1" applyProtection="1">
      <alignment horizontal="right" vertical="top"/>
      <protection locked="0"/>
    </xf>
    <xf numFmtId="0" fontId="5" fillId="0" borderId="0" xfId="0" applyFont="1" applyAlignment="1">
      <alignment horizontal="right" vertical="top"/>
    </xf>
    <xf numFmtId="49" fontId="2" fillId="0" borderId="0" xfId="0" applyNumberFormat="1" applyFont="1" applyAlignment="1" applyProtection="1">
      <alignment vertical="top"/>
      <protection locked="0"/>
    </xf>
    <xf numFmtId="0" fontId="6" fillId="0" borderId="15" xfId="0" applyFont="1" applyBorder="1" applyAlignment="1">
      <alignment horizontal="left" vertical="center"/>
    </xf>
    <xf numFmtId="0" fontId="6" fillId="0" borderId="15" xfId="0" applyFont="1" applyBorder="1" applyAlignment="1">
      <alignment horizontal="left" vertical="center" wrapText="1"/>
    </xf>
    <xf numFmtId="49" fontId="9" fillId="0" borderId="0" xfId="0" applyNumberFormat="1" applyFont="1" applyAlignment="1" applyProtection="1">
      <alignment vertical="top"/>
      <protection locked="0"/>
    </xf>
    <xf numFmtId="0" fontId="21" fillId="0" borderId="3" xfId="0" applyFont="1" applyBorder="1" applyAlignment="1">
      <alignment horizontal="left" vertical="center" wrapText="1"/>
    </xf>
    <xf numFmtId="0" fontId="6" fillId="0" borderId="15" xfId="0" applyFont="1" applyBorder="1" applyAlignment="1">
      <alignment vertical="center"/>
    </xf>
    <xf numFmtId="4" fontId="6" fillId="0" borderId="3" xfId="0" applyNumberFormat="1" applyFont="1" applyBorder="1" applyAlignment="1">
      <alignment horizontal="center" vertical="center" wrapText="1"/>
    </xf>
    <xf numFmtId="0" fontId="24" fillId="0" borderId="0" xfId="0" applyFont="1"/>
    <xf numFmtId="0" fontId="23" fillId="0" borderId="0" xfId="0" applyFont="1"/>
    <xf numFmtId="0" fontId="23" fillId="0" borderId="0" xfId="0" applyFont="1" applyAlignment="1">
      <alignment horizontal="left" vertical="top" wrapText="1"/>
    </xf>
    <xf numFmtId="0" fontId="0" fillId="0" borderId="0" xfId="0" applyAlignment="1">
      <alignment vertical="center"/>
    </xf>
    <xf numFmtId="0" fontId="0" fillId="0" borderId="0" xfId="0" applyAlignment="1">
      <alignment vertical="center" wrapText="1"/>
    </xf>
    <xf numFmtId="0" fontId="0" fillId="0" borderId="3" xfId="0" applyBorder="1" applyAlignment="1">
      <alignment horizontal="left" vertical="top" wrapText="1"/>
    </xf>
    <xf numFmtId="0" fontId="0" fillId="0" borderId="0" xfId="0" applyAlignment="1">
      <alignment horizontal="center" vertical="center"/>
    </xf>
    <xf numFmtId="0" fontId="0" fillId="0" borderId="0" xfId="0" applyAlignment="1">
      <alignment horizontal="left" vertical="top"/>
    </xf>
    <xf numFmtId="0" fontId="0" fillId="0" borderId="0" xfId="0" applyAlignment="1">
      <alignment horizontal="left" vertical="top" wrapText="1"/>
    </xf>
    <xf numFmtId="0" fontId="0" fillId="0" borderId="15" xfId="0" applyBorder="1" applyAlignment="1">
      <alignment horizontal="left" vertical="top" wrapText="1"/>
    </xf>
    <xf numFmtId="0" fontId="28" fillId="0" borderId="0" xfId="0" applyFont="1" applyAlignment="1">
      <alignment horizontal="center" vertical="top" wrapText="1"/>
    </xf>
    <xf numFmtId="0" fontId="28" fillId="0" borderId="26" xfId="0" applyFont="1" applyBorder="1" applyAlignment="1">
      <alignment horizontal="center" vertical="top" wrapText="1"/>
    </xf>
    <xf numFmtId="0" fontId="0" fillId="0" borderId="3" xfId="0" applyBorder="1" applyAlignment="1">
      <alignment horizontal="left" vertical="center" wrapText="1"/>
    </xf>
    <xf numFmtId="0" fontId="28" fillId="0" borderId="0" xfId="0" applyFont="1" applyAlignment="1">
      <alignment horizontal="center" vertical="top"/>
    </xf>
    <xf numFmtId="0" fontId="0" fillId="0" borderId="4" xfId="0" applyBorder="1" applyAlignment="1">
      <alignment vertical="top" wrapText="1"/>
    </xf>
    <xf numFmtId="0" fontId="23" fillId="0" borderId="3" xfId="0" applyFont="1" applyBorder="1" applyAlignment="1">
      <alignment horizontal="center" vertical="center" wrapText="1"/>
    </xf>
    <xf numFmtId="0" fontId="0" fillId="0" borderId="14" xfId="0" applyBorder="1" applyAlignment="1">
      <alignment vertical="top" wrapText="1"/>
    </xf>
    <xf numFmtId="0" fontId="0" fillId="0" borderId="13" xfId="0" applyBorder="1" applyAlignment="1">
      <alignment horizontal="left" vertical="top" wrapText="1"/>
    </xf>
    <xf numFmtId="0" fontId="30" fillId="3" borderId="0" xfId="0" applyFont="1" applyFill="1" applyAlignment="1">
      <alignment horizontal="left" vertical="center" wrapText="1"/>
    </xf>
    <xf numFmtId="2" fontId="6" fillId="0" borderId="3" xfId="0" applyNumberFormat="1" applyFont="1" applyBorder="1" applyAlignment="1">
      <alignment vertical="center"/>
    </xf>
    <xf numFmtId="9" fontId="2" fillId="0" borderId="0" xfId="1" applyFont="1" applyAlignment="1" applyProtection="1">
      <alignment horizontal="center" vertical="top"/>
      <protection locked="0"/>
    </xf>
    <xf numFmtId="0" fontId="31" fillId="0" borderId="3" xfId="0" applyFont="1" applyBorder="1" applyAlignment="1">
      <alignment horizontal="left" vertical="top" wrapText="1"/>
    </xf>
    <xf numFmtId="0" fontId="0" fillId="0" borderId="0" xfId="0" applyAlignment="1">
      <alignment horizontal="left" vertical="center"/>
    </xf>
    <xf numFmtId="0" fontId="8" fillId="0" borderId="0" xfId="0" applyFont="1" applyAlignment="1">
      <alignment horizontal="center" vertical="center"/>
    </xf>
    <xf numFmtId="0" fontId="6" fillId="0" borderId="0" xfId="0" applyFont="1" applyAlignment="1">
      <alignment horizontal="center" vertical="center"/>
    </xf>
    <xf numFmtId="2" fontId="6" fillId="0" borderId="0" xfId="0" applyNumberFormat="1" applyFont="1" applyAlignment="1">
      <alignment horizontal="center" vertical="center"/>
    </xf>
    <xf numFmtId="0" fontId="34" fillId="0" borderId="0" xfId="0" applyFont="1" applyAlignment="1">
      <alignment horizontal="left" vertical="center" wrapText="1"/>
    </xf>
    <xf numFmtId="2" fontId="6" fillId="0" borderId="0" xfId="0" applyNumberFormat="1" applyFont="1" applyAlignment="1">
      <alignment horizontal="left" vertical="center"/>
    </xf>
    <xf numFmtId="167" fontId="6" fillId="0" borderId="3" xfId="0" applyNumberFormat="1" applyFont="1" applyBorder="1" applyAlignment="1">
      <alignment vertical="center"/>
    </xf>
    <xf numFmtId="0" fontId="30" fillId="3" borderId="0" xfId="0" applyFont="1" applyFill="1" applyAlignment="1">
      <alignment horizontal="left" vertical="center"/>
    </xf>
    <xf numFmtId="4" fontId="6" fillId="0" borderId="9" xfId="0" applyNumberFormat="1" applyFont="1" applyBorder="1" applyAlignment="1">
      <alignment horizontal="center" vertical="center" wrapText="1"/>
    </xf>
    <xf numFmtId="4" fontId="6" fillId="0" borderId="23" xfId="0" applyNumberFormat="1" applyFont="1" applyBorder="1" applyAlignment="1">
      <alignment horizontal="center" vertical="center" wrapText="1"/>
    </xf>
    <xf numFmtId="0" fontId="6" fillId="0" borderId="17" xfId="0" applyFont="1" applyBorder="1" applyAlignment="1">
      <alignment horizontal="left" vertical="center"/>
    </xf>
    <xf numFmtId="4" fontId="6" fillId="0" borderId="17" xfId="0" applyNumberFormat="1" applyFont="1" applyBorder="1" applyAlignment="1">
      <alignment horizontal="center" vertical="center" wrapText="1"/>
    </xf>
    <xf numFmtId="0" fontId="6" fillId="0" borderId="0" xfId="0" applyFont="1" applyAlignment="1">
      <alignment horizontal="left" vertical="center"/>
    </xf>
    <xf numFmtId="0" fontId="8" fillId="0" borderId="0" xfId="0" applyFont="1" applyAlignment="1">
      <alignment horizontal="left" vertical="center"/>
    </xf>
    <xf numFmtId="0" fontId="30" fillId="0" borderId="0" xfId="0" applyFont="1" applyAlignment="1">
      <alignment horizontal="center" vertical="center"/>
    </xf>
    <xf numFmtId="0" fontId="36" fillId="0" borderId="0" xfId="0" applyFont="1" applyAlignment="1">
      <alignment horizontal="center" vertical="center"/>
    </xf>
    <xf numFmtId="0" fontId="6" fillId="0" borderId="19" xfId="0" applyFont="1" applyBorder="1" applyAlignment="1">
      <alignment horizontal="left" vertical="center"/>
    </xf>
    <xf numFmtId="0" fontId="6" fillId="0" borderId="8" xfId="0" applyFont="1" applyBorder="1" applyAlignment="1">
      <alignment horizontal="left" vertical="center"/>
    </xf>
    <xf numFmtId="0" fontId="6" fillId="0" borderId="17" xfId="0" applyFont="1" applyBorder="1" applyAlignment="1">
      <alignment vertical="center"/>
    </xf>
    <xf numFmtId="0" fontId="36" fillId="0" borderId="3" xfId="0" applyFont="1" applyBorder="1" applyAlignment="1">
      <alignment horizontal="center" vertical="center"/>
    </xf>
    <xf numFmtId="0" fontId="6" fillId="0" borderId="16" xfId="0" applyFont="1" applyBorder="1" applyAlignment="1">
      <alignment vertical="center"/>
    </xf>
    <xf numFmtId="0" fontId="6" fillId="0" borderId="16" xfId="0" applyFont="1" applyBorder="1" applyAlignment="1">
      <alignment horizontal="left" vertical="center"/>
    </xf>
    <xf numFmtId="4" fontId="6" fillId="0" borderId="16" xfId="0" applyNumberFormat="1" applyFont="1" applyBorder="1" applyAlignment="1">
      <alignment horizontal="center" vertical="center" wrapText="1"/>
    </xf>
    <xf numFmtId="0" fontId="6" fillId="0" borderId="13" xfId="0" applyFont="1" applyBorder="1" applyAlignment="1">
      <alignment horizontal="left" vertical="center"/>
    </xf>
    <xf numFmtId="0" fontId="2" fillId="0" borderId="13" xfId="0" applyFont="1" applyBorder="1" applyAlignment="1">
      <alignment vertical="center"/>
    </xf>
    <xf numFmtId="0" fontId="2" fillId="0" borderId="29" xfId="0" applyFont="1" applyBorder="1" applyAlignment="1">
      <alignment vertical="top"/>
    </xf>
    <xf numFmtId="167" fontId="6" fillId="0" borderId="3" xfId="0" applyNumberFormat="1" applyFont="1" applyBorder="1" applyAlignment="1">
      <alignment horizontal="center" vertical="center"/>
    </xf>
    <xf numFmtId="167" fontId="2" fillId="0" borderId="0" xfId="0" applyNumberFormat="1" applyFont="1" applyAlignment="1">
      <alignment vertical="top"/>
    </xf>
    <xf numFmtId="0" fontId="2" fillId="0" borderId="29" xfId="0" applyFont="1" applyBorder="1" applyAlignment="1">
      <alignment horizontal="left" vertical="top"/>
    </xf>
    <xf numFmtId="0" fontId="6" fillId="0" borderId="13" xfId="0" applyFont="1" applyBorder="1" applyAlignment="1">
      <alignment horizontal="left" vertical="top" wrapText="1"/>
    </xf>
    <xf numFmtId="0" fontId="6" fillId="0" borderId="12" xfId="0" applyFont="1" applyBorder="1" applyAlignment="1">
      <alignment horizontal="left" vertical="top" wrapText="1"/>
    </xf>
    <xf numFmtId="0" fontId="2" fillId="0" borderId="30" xfId="0" applyFont="1" applyBorder="1" applyAlignment="1">
      <alignment horizontal="left" vertical="top"/>
    </xf>
    <xf numFmtId="0" fontId="4" fillId="0" borderId="7" xfId="0" applyFont="1" applyBorder="1" applyAlignment="1">
      <alignment horizontal="left" vertical="top"/>
    </xf>
    <xf numFmtId="0" fontId="6" fillId="0" borderId="13" xfId="0" applyFont="1" applyBorder="1" applyAlignment="1">
      <alignment horizontal="left" vertical="top"/>
    </xf>
    <xf numFmtId="0" fontId="6" fillId="0" borderId="12" xfId="0" applyFont="1" applyBorder="1" applyAlignment="1">
      <alignment horizontal="left" vertical="top"/>
    </xf>
    <xf numFmtId="0" fontId="6" fillId="0" borderId="31" xfId="0" applyFont="1" applyBorder="1" applyAlignment="1">
      <alignment horizontal="left" vertical="top"/>
    </xf>
    <xf numFmtId="0" fontId="6" fillId="0" borderId="15" xfId="0" applyFont="1" applyBorder="1" applyAlignment="1">
      <alignment horizontal="left" vertical="top" wrapText="1"/>
    </xf>
    <xf numFmtId="167" fontId="2" fillId="0" borderId="0" xfId="0" applyNumberFormat="1" applyFont="1" applyAlignment="1" applyProtection="1">
      <alignment vertical="top"/>
      <protection locked="0"/>
    </xf>
    <xf numFmtId="0" fontId="30" fillId="3" borderId="0" xfId="0" applyFont="1" applyFill="1" applyAlignment="1">
      <alignment vertical="center"/>
    </xf>
    <xf numFmtId="0" fontId="6" fillId="0" borderId="32" xfId="0" applyFont="1" applyBorder="1" applyAlignment="1">
      <alignment horizontal="left" vertical="center"/>
    </xf>
    <xf numFmtId="0" fontId="23" fillId="6" borderId="3" xfId="0" applyFont="1" applyFill="1" applyBorder="1" applyAlignment="1">
      <alignment horizontal="left" vertical="top" wrapText="1"/>
    </xf>
    <xf numFmtId="0" fontId="23" fillId="6" borderId="6" xfId="0" applyFont="1" applyFill="1" applyBorder="1" applyAlignment="1">
      <alignment horizontal="left" vertical="top" wrapText="1"/>
    </xf>
    <xf numFmtId="0" fontId="6" fillId="6" borderId="13" xfId="0" applyFont="1" applyFill="1" applyBorder="1" applyAlignment="1">
      <alignment horizontal="center" vertical="center"/>
    </xf>
    <xf numFmtId="0" fontId="6" fillId="6" borderId="13" xfId="0" applyFont="1" applyFill="1" applyBorder="1" applyAlignment="1">
      <alignment horizontal="center" vertical="center" wrapText="1"/>
    </xf>
    <xf numFmtId="0" fontId="4" fillId="6" borderId="0" xfId="0" applyFont="1" applyFill="1" applyAlignment="1">
      <alignment horizontal="left" vertical="center"/>
    </xf>
    <xf numFmtId="0" fontId="8" fillId="6" borderId="6" xfId="0" applyFont="1" applyFill="1" applyBorder="1" applyAlignment="1">
      <alignment horizontal="center" vertical="center" wrapText="1"/>
    </xf>
    <xf numFmtId="0" fontId="8" fillId="6" borderId="3" xfId="0" applyFont="1" applyFill="1" applyBorder="1" applyAlignment="1">
      <alignment vertical="center"/>
    </xf>
    <xf numFmtId="0" fontId="8" fillId="6" borderId="3" xfId="0" applyFont="1" applyFill="1" applyBorder="1" applyAlignment="1">
      <alignment vertical="center" wrapText="1"/>
    </xf>
    <xf numFmtId="0" fontId="8" fillId="6" borderId="3" xfId="0" applyFont="1" applyFill="1" applyBorder="1" applyAlignment="1">
      <alignment horizontal="center" vertical="center" wrapText="1"/>
    </xf>
    <xf numFmtId="0" fontId="8" fillId="6" borderId="13" xfId="0" applyFont="1" applyFill="1" applyBorder="1" applyAlignment="1">
      <alignment vertical="center"/>
    </xf>
    <xf numFmtId="0" fontId="8" fillId="6" borderId="13" xfId="0" applyFont="1" applyFill="1" applyBorder="1" applyAlignment="1">
      <alignment vertical="center" wrapText="1"/>
    </xf>
    <xf numFmtId="0" fontId="8" fillId="6" borderId="13" xfId="0" applyFont="1" applyFill="1" applyBorder="1" applyAlignment="1">
      <alignment horizontal="center" vertical="center" wrapText="1"/>
    </xf>
    <xf numFmtId="0" fontId="4" fillId="6" borderId="0" xfId="0" applyFont="1" applyFill="1" applyAlignment="1">
      <alignment horizontal="left" vertical="top"/>
    </xf>
    <xf numFmtId="0" fontId="4" fillId="6" borderId="0" xfId="0" applyFont="1" applyFill="1" applyAlignment="1">
      <alignment vertical="top"/>
    </xf>
    <xf numFmtId="0" fontId="4" fillId="6" borderId="6" xfId="0" applyFont="1" applyFill="1" applyBorder="1" applyAlignment="1">
      <alignment horizontal="left" vertical="top"/>
    </xf>
    <xf numFmtId="0" fontId="4" fillId="6" borderId="6" xfId="0" applyFont="1" applyFill="1" applyBorder="1" applyAlignment="1">
      <alignment vertical="top"/>
    </xf>
    <xf numFmtId="0" fontId="4" fillId="6" borderId="3" xfId="0" applyFont="1" applyFill="1" applyBorder="1" applyAlignment="1">
      <alignment vertical="top"/>
    </xf>
    <xf numFmtId="0" fontId="2" fillId="6" borderId="13" xfId="0" applyFont="1" applyFill="1" applyBorder="1" applyAlignment="1">
      <alignment horizontal="center" vertical="center" wrapText="1"/>
    </xf>
    <xf numFmtId="0" fontId="6" fillId="6" borderId="24" xfId="0" applyFont="1" applyFill="1" applyBorder="1" applyAlignment="1">
      <alignment horizontal="right" vertical="center"/>
    </xf>
    <xf numFmtId="0" fontId="6" fillId="6" borderId="3" xfId="0" applyFont="1" applyFill="1" applyBorder="1" applyAlignment="1">
      <alignment horizontal="right" vertical="center" wrapText="1"/>
    </xf>
    <xf numFmtId="0" fontId="6" fillId="6" borderId="3" xfId="0" applyFont="1" applyFill="1" applyBorder="1" applyAlignment="1">
      <alignment horizontal="right" vertical="center"/>
    </xf>
    <xf numFmtId="0" fontId="8" fillId="6" borderId="3" xfId="0" applyFont="1" applyFill="1" applyBorder="1" applyAlignment="1">
      <alignment horizontal="left" vertical="center" wrapText="1"/>
    </xf>
    <xf numFmtId="0" fontId="6" fillId="6" borderId="15" xfId="0" applyFont="1" applyFill="1" applyBorder="1" applyAlignment="1">
      <alignment horizontal="right" vertical="center"/>
    </xf>
    <xf numFmtId="0" fontId="6" fillId="6" borderId="3" xfId="0" applyFont="1" applyFill="1" applyBorder="1" applyAlignment="1">
      <alignment horizontal="left" vertical="center" wrapText="1"/>
    </xf>
    <xf numFmtId="0" fontId="8" fillId="6" borderId="0" xfId="0" applyFont="1" applyFill="1" applyAlignment="1">
      <alignment horizontal="left" vertical="top"/>
    </xf>
    <xf numFmtId="0" fontId="6" fillId="6" borderId="15" xfId="0" applyFont="1" applyFill="1" applyBorder="1" applyAlignment="1">
      <alignment horizontal="left" vertical="top"/>
    </xf>
    <xf numFmtId="0" fontId="8" fillId="6" borderId="15" xfId="0" applyFont="1" applyFill="1" applyBorder="1" applyAlignment="1">
      <alignment horizontal="left" vertical="top"/>
    </xf>
    <xf numFmtId="0" fontId="6" fillId="6" borderId="3" xfId="0" applyFont="1" applyFill="1" applyBorder="1" applyAlignment="1">
      <alignment horizontal="left" vertical="top"/>
    </xf>
    <xf numFmtId="0" fontId="8" fillId="6" borderId="3" xfId="0" applyFont="1" applyFill="1" applyBorder="1" applyAlignment="1">
      <alignment horizontal="left" vertical="top" wrapText="1"/>
    </xf>
    <xf numFmtId="0" fontId="8" fillId="6" borderId="3" xfId="0" applyFont="1" applyFill="1" applyBorder="1" applyAlignment="1" applyProtection="1">
      <alignment horizontal="left" vertical="top"/>
      <protection locked="0"/>
    </xf>
    <xf numFmtId="0" fontId="14" fillId="6" borderId="22" xfId="0" applyFont="1" applyFill="1" applyBorder="1" applyAlignment="1">
      <alignment horizontal="left" vertical="top"/>
    </xf>
    <xf numFmtId="167" fontId="13" fillId="6" borderId="21" xfId="0" applyNumberFormat="1" applyFont="1" applyFill="1" applyBorder="1" applyAlignment="1">
      <alignment horizontal="left" vertical="top"/>
    </xf>
    <xf numFmtId="0" fontId="8" fillId="6" borderId="15" xfId="0" applyFont="1" applyFill="1" applyBorder="1" applyAlignment="1">
      <alignment horizontal="left" vertical="center"/>
    </xf>
    <xf numFmtId="0" fontId="8" fillId="6" borderId="18" xfId="0" applyFont="1" applyFill="1" applyBorder="1" applyAlignment="1">
      <alignment horizontal="left" vertical="center" wrapText="1"/>
    </xf>
    <xf numFmtId="0" fontId="8" fillId="6" borderId="0" xfId="0" applyFont="1" applyFill="1" applyAlignment="1">
      <alignment horizontal="left" vertical="center"/>
    </xf>
    <xf numFmtId="0" fontId="8" fillId="6" borderId="0" xfId="0" applyFont="1" applyFill="1" applyAlignment="1">
      <alignment horizontal="left" vertical="center" wrapText="1"/>
    </xf>
    <xf numFmtId="3" fontId="8" fillId="6" borderId="0" xfId="0" applyNumberFormat="1" applyFont="1" applyFill="1" applyAlignment="1">
      <alignment horizontal="right" vertical="center"/>
    </xf>
    <xf numFmtId="0" fontId="4" fillId="6" borderId="8" xfId="0" applyFont="1" applyFill="1" applyBorder="1" applyAlignment="1">
      <alignment vertical="top"/>
    </xf>
    <xf numFmtId="0" fontId="3" fillId="6" borderId="3" xfId="0" applyFont="1" applyFill="1" applyBorder="1" applyAlignment="1">
      <alignment horizontal="center" vertical="center" wrapText="1"/>
    </xf>
    <xf numFmtId="2" fontId="2" fillId="6" borderId="29" xfId="0" applyNumberFormat="1" applyFont="1" applyFill="1" applyBorder="1" applyAlignment="1">
      <alignment vertical="top"/>
    </xf>
    <xf numFmtId="0" fontId="4" fillId="6" borderId="7" xfId="0" applyFont="1" applyFill="1" applyBorder="1" applyAlignment="1">
      <alignment horizontal="left" vertical="top"/>
    </xf>
    <xf numFmtId="0" fontId="4" fillId="6" borderId="8" xfId="0" applyFont="1" applyFill="1" applyBorder="1" applyAlignment="1">
      <alignment horizontal="left" vertical="top"/>
    </xf>
    <xf numFmtId="0" fontId="16" fillId="6" borderId="0" xfId="0" applyFont="1" applyFill="1" applyAlignment="1">
      <alignment vertical="top" wrapText="1"/>
    </xf>
    <xf numFmtId="0" fontId="18" fillId="6" borderId="15" xfId="0" applyFont="1" applyFill="1" applyBorder="1" applyAlignment="1">
      <alignment horizontal="left" vertical="center"/>
    </xf>
    <xf numFmtId="0" fontId="8" fillId="6" borderId="7" xfId="0" applyFont="1" applyFill="1" applyBorder="1" applyAlignment="1">
      <alignment horizontal="left" vertical="center" wrapText="1"/>
    </xf>
    <xf numFmtId="167" fontId="19" fillId="6" borderId="20" xfId="0" applyNumberFormat="1" applyFont="1" applyFill="1" applyBorder="1" applyAlignment="1">
      <alignment horizontal="right" vertical="center"/>
    </xf>
    <xf numFmtId="167" fontId="19" fillId="6" borderId="2" xfId="0" applyNumberFormat="1" applyFont="1" applyFill="1" applyBorder="1" applyAlignment="1">
      <alignment horizontal="right" vertical="center"/>
    </xf>
    <xf numFmtId="0" fontId="8" fillId="6" borderId="3" xfId="0" applyFont="1" applyFill="1" applyBorder="1" applyAlignment="1">
      <alignment horizontal="left" vertical="center"/>
    </xf>
    <xf numFmtId="0" fontId="6" fillId="6" borderId="3" xfId="0" applyFont="1" applyFill="1" applyBorder="1" applyAlignment="1">
      <alignment vertical="center" wrapText="1"/>
    </xf>
    <xf numFmtId="0" fontId="8" fillId="6" borderId="7" xfId="0" applyFont="1" applyFill="1" applyBorder="1" applyAlignment="1">
      <alignment vertical="center"/>
    </xf>
    <xf numFmtId="167" fontId="8" fillId="6" borderId="8" xfId="0" applyNumberFormat="1" applyFont="1" applyFill="1" applyBorder="1" applyAlignment="1">
      <alignment horizontal="right" vertical="center"/>
    </xf>
    <xf numFmtId="0" fontId="8" fillId="6" borderId="15" xfId="0" applyFont="1" applyFill="1" applyBorder="1" applyAlignment="1">
      <alignment vertical="center" wrapText="1"/>
    </xf>
    <xf numFmtId="3" fontId="8" fillId="6" borderId="3" xfId="0" applyNumberFormat="1" applyFont="1" applyFill="1" applyBorder="1" applyAlignment="1">
      <alignment horizontal="right" vertical="center"/>
    </xf>
    <xf numFmtId="3" fontId="8" fillId="6" borderId="6" xfId="0" applyNumberFormat="1" applyFont="1" applyFill="1" applyBorder="1" applyAlignment="1">
      <alignment horizontal="right" vertical="center"/>
    </xf>
    <xf numFmtId="3" fontId="8" fillId="6" borderId="13" xfId="0" applyNumberFormat="1" applyFont="1" applyFill="1" applyBorder="1" applyAlignment="1">
      <alignment horizontal="right" vertical="center"/>
    </xf>
    <xf numFmtId="167" fontId="6" fillId="6" borderId="3" xfId="0" applyNumberFormat="1" applyFont="1" applyFill="1" applyBorder="1" applyAlignment="1">
      <alignment horizontal="right" vertical="center"/>
    </xf>
    <xf numFmtId="167" fontId="6" fillId="6" borderId="3" xfId="0" applyNumberFormat="1" applyFont="1" applyFill="1" applyBorder="1" applyAlignment="1">
      <alignment vertical="center"/>
    </xf>
    <xf numFmtId="167" fontId="8" fillId="6" borderId="12" xfId="0" applyNumberFormat="1" applyFont="1" applyFill="1" applyBorder="1" applyAlignment="1">
      <alignment horizontal="right" vertical="center"/>
    </xf>
    <xf numFmtId="167" fontId="8" fillId="6" borderId="15" xfId="0" applyNumberFormat="1" applyFont="1" applyFill="1" applyBorder="1" applyAlignment="1">
      <alignment horizontal="right" vertical="center"/>
    </xf>
    <xf numFmtId="0" fontId="2" fillId="6" borderId="2" xfId="0" applyFont="1" applyFill="1" applyBorder="1" applyAlignment="1">
      <alignment horizontal="center" vertical="center" wrapText="1"/>
    </xf>
    <xf numFmtId="2" fontId="6" fillId="6" borderId="0" xfId="0" applyNumberFormat="1" applyFont="1" applyFill="1" applyAlignment="1">
      <alignment horizontal="center" vertical="center"/>
    </xf>
    <xf numFmtId="10" fontId="6" fillId="6" borderId="0" xfId="1" applyNumberFormat="1" applyFont="1" applyFill="1" applyAlignment="1">
      <alignment horizontal="center" vertical="center"/>
    </xf>
    <xf numFmtId="0" fontId="3" fillId="0" borderId="3" xfId="0" applyFont="1" applyBorder="1" applyAlignment="1">
      <alignment horizontal="left" vertical="center" wrapText="1"/>
    </xf>
    <xf numFmtId="0" fontId="0" fillId="0" borderId="0" xfId="0" applyAlignment="1">
      <alignment wrapText="1"/>
    </xf>
    <xf numFmtId="0" fontId="32" fillId="0" borderId="3" xfId="0" applyFont="1" applyBorder="1" applyAlignment="1">
      <alignment horizontal="left" vertical="center" wrapText="1"/>
    </xf>
    <xf numFmtId="0" fontId="0" fillId="0" borderId="0" xfId="0" applyAlignment="1">
      <alignment horizontal="left" vertical="center" wrapText="1"/>
    </xf>
    <xf numFmtId="0" fontId="23" fillId="0" borderId="3" xfId="0" applyFont="1" applyBorder="1" applyAlignment="1">
      <alignment horizontal="left" vertical="center" wrapText="1"/>
    </xf>
    <xf numFmtId="0" fontId="6" fillId="0" borderId="0" xfId="0" applyFont="1" applyAlignment="1">
      <alignment horizontal="left" vertical="center" wrapText="1"/>
    </xf>
    <xf numFmtId="0" fontId="8" fillId="6" borderId="31" xfId="0" applyFont="1" applyFill="1" applyBorder="1" applyAlignment="1">
      <alignment vertical="center"/>
    </xf>
    <xf numFmtId="0" fontId="8" fillId="6" borderId="31" xfId="0" applyFont="1" applyFill="1" applyBorder="1" applyAlignment="1">
      <alignment horizontal="center" vertical="center"/>
    </xf>
    <xf numFmtId="3" fontId="8" fillId="6" borderId="31" xfId="0" applyNumberFormat="1" applyFont="1" applyFill="1" applyBorder="1" applyAlignment="1">
      <alignment horizontal="right" vertical="center"/>
    </xf>
    <xf numFmtId="0" fontId="8" fillId="6" borderId="3" xfId="0" applyFont="1" applyFill="1" applyBorder="1" applyAlignment="1">
      <alignment horizontal="left" vertical="top"/>
    </xf>
    <xf numFmtId="0" fontId="13" fillId="6" borderId="3" xfId="0" applyFont="1" applyFill="1" applyBorder="1" applyAlignment="1">
      <alignment horizontal="left" vertical="top" indent="1"/>
    </xf>
    <xf numFmtId="0" fontId="14" fillId="6" borderId="13" xfId="0" applyFont="1" applyFill="1" applyBorder="1" applyAlignment="1">
      <alignment horizontal="left" vertical="top" indent="1"/>
    </xf>
    <xf numFmtId="0" fontId="8" fillId="0" borderId="27" xfId="0" applyFont="1" applyBorder="1" applyAlignment="1">
      <alignment horizontal="left" vertical="center" wrapText="1"/>
    </xf>
    <xf numFmtId="0" fontId="22" fillId="0" borderId="3" xfId="0" applyFont="1" applyBorder="1" applyAlignment="1">
      <alignment horizontal="left" vertical="center"/>
    </xf>
    <xf numFmtId="167" fontId="6" fillId="0" borderId="3" xfId="0" applyNumberFormat="1" applyFont="1" applyBorder="1" applyAlignment="1">
      <alignment horizontal="right" vertical="center"/>
    </xf>
    <xf numFmtId="0" fontId="22" fillId="6" borderId="3" xfId="0" applyFont="1" applyFill="1" applyBorder="1" applyAlignment="1">
      <alignment horizontal="left" vertical="center"/>
    </xf>
    <xf numFmtId="0" fontId="22" fillId="6" borderId="15" xfId="0" applyFont="1" applyFill="1" applyBorder="1" applyAlignment="1">
      <alignment horizontal="left" vertical="center"/>
    </xf>
    <xf numFmtId="0" fontId="6" fillId="6" borderId="15" xfId="0" applyFont="1" applyFill="1" applyBorder="1" applyAlignment="1">
      <alignment vertical="center" wrapText="1"/>
    </xf>
    <xf numFmtId="1" fontId="6" fillId="6" borderId="15" xfId="0" applyNumberFormat="1" applyFont="1" applyFill="1" applyBorder="1" applyAlignment="1">
      <alignment vertical="center"/>
    </xf>
    <xf numFmtId="0" fontId="46" fillId="6" borderId="3" xfId="0" applyFont="1" applyFill="1" applyBorder="1" applyAlignment="1">
      <alignment horizontal="left" vertical="center"/>
    </xf>
    <xf numFmtId="167" fontId="8" fillId="6" borderId="3" xfId="0" applyNumberFormat="1" applyFont="1" applyFill="1" applyBorder="1" applyAlignment="1">
      <alignment horizontal="right" vertical="center"/>
    </xf>
    <xf numFmtId="167" fontId="8" fillId="6" borderId="3" xfId="0" applyNumberFormat="1" applyFont="1" applyFill="1" applyBorder="1" applyAlignment="1">
      <alignment vertical="center"/>
    </xf>
    <xf numFmtId="167" fontId="6" fillId="6" borderId="15" xfId="0" applyNumberFormat="1" applyFont="1" applyFill="1" applyBorder="1" applyAlignment="1">
      <alignment horizontal="right" vertical="top"/>
    </xf>
    <xf numFmtId="0" fontId="8" fillId="0" borderId="3" xfId="0" applyFont="1" applyBorder="1" applyAlignment="1">
      <alignment horizontal="left" vertical="top" wrapText="1" indent="1"/>
    </xf>
    <xf numFmtId="167" fontId="8" fillId="6" borderId="15" xfId="0" applyNumberFormat="1" applyFont="1" applyFill="1" applyBorder="1" applyAlignment="1">
      <alignment vertical="center"/>
    </xf>
    <xf numFmtId="0" fontId="6" fillId="0" borderId="31" xfId="0" applyFont="1" applyBorder="1" applyAlignment="1">
      <alignment horizontal="left" vertical="top" wrapText="1"/>
    </xf>
    <xf numFmtId="0" fontId="21" fillId="0" borderId="3" xfId="0" applyFont="1" applyBorder="1" applyAlignment="1">
      <alignment vertical="center" wrapText="1"/>
    </xf>
    <xf numFmtId="0" fontId="14" fillId="6" borderId="34" xfId="0" applyFont="1" applyFill="1" applyBorder="1" applyAlignment="1">
      <alignment horizontal="left" vertical="top"/>
    </xf>
    <xf numFmtId="0" fontId="8" fillId="6" borderId="20" xfId="0" applyFont="1" applyFill="1" applyBorder="1" applyAlignment="1">
      <alignment vertical="center" wrapText="1"/>
    </xf>
    <xf numFmtId="0" fontId="8" fillId="6" borderId="10" xfId="0" applyFont="1" applyFill="1" applyBorder="1" applyAlignment="1">
      <alignment vertical="center" wrapText="1"/>
    </xf>
    <xf numFmtId="0" fontId="8" fillId="0" borderId="3" xfId="0" applyFont="1" applyBorder="1" applyAlignment="1">
      <alignment horizontal="left" vertical="center"/>
    </xf>
    <xf numFmtId="0" fontId="8" fillId="0" borderId="3" xfId="0" applyFont="1" applyBorder="1" applyAlignment="1">
      <alignment horizontal="left" vertical="center" wrapText="1"/>
    </xf>
    <xf numFmtId="0" fontId="2" fillId="0" borderId="2" xfId="0" applyFont="1" applyBorder="1" applyAlignment="1">
      <alignment vertical="top"/>
    </xf>
    <xf numFmtId="0" fontId="2" fillId="0" borderId="2" xfId="0" applyFont="1" applyBorder="1" applyAlignment="1">
      <alignment vertical="top" wrapText="1"/>
    </xf>
    <xf numFmtId="0" fontId="2" fillId="0" borderId="25" xfId="0" applyFont="1" applyBorder="1" applyAlignment="1">
      <alignment horizontal="center" vertical="center"/>
    </xf>
    <xf numFmtId="0" fontId="2" fillId="0" borderId="29" xfId="0" applyFont="1" applyBorder="1" applyAlignment="1">
      <alignment horizontal="center" vertical="center"/>
    </xf>
    <xf numFmtId="0" fontId="6" fillId="0" borderId="15" xfId="0" applyFont="1" applyBorder="1" applyAlignment="1">
      <alignment horizontal="left" vertical="top"/>
    </xf>
    <xf numFmtId="0" fontId="2" fillId="0" borderId="25" xfId="0" applyFont="1" applyBorder="1" applyAlignment="1">
      <alignment horizontal="left" vertical="top"/>
    </xf>
    <xf numFmtId="0" fontId="4" fillId="6" borderId="4" xfId="0" applyFont="1" applyFill="1" applyBorder="1" applyAlignment="1">
      <alignment vertical="top"/>
    </xf>
    <xf numFmtId="0" fontId="4" fillId="6" borderId="25" xfId="0" applyFont="1" applyFill="1" applyBorder="1" applyAlignment="1">
      <alignment vertical="top"/>
    </xf>
    <xf numFmtId="0" fontId="2" fillId="6" borderId="25" xfId="0" applyFont="1" applyFill="1" applyBorder="1" applyAlignment="1">
      <alignment vertical="top"/>
    </xf>
    <xf numFmtId="0" fontId="2" fillId="6" borderId="5" xfId="0" applyFont="1" applyFill="1" applyBorder="1" applyAlignment="1">
      <alignment vertical="top"/>
    </xf>
    <xf numFmtId="0" fontId="3" fillId="0" borderId="25" xfId="0" applyFont="1" applyBorder="1" applyAlignment="1">
      <alignment vertical="top"/>
    </xf>
    <xf numFmtId="0" fontId="3" fillId="0" borderId="29" xfId="0" applyFont="1" applyBorder="1" applyAlignment="1">
      <alignment vertical="top"/>
    </xf>
    <xf numFmtId="0" fontId="3" fillId="0" borderId="25" xfId="0" applyFont="1" applyBorder="1" applyAlignment="1">
      <alignment horizontal="left" vertical="top"/>
    </xf>
    <xf numFmtId="0" fontId="3" fillId="0" borderId="29" xfId="0" applyFont="1" applyBorder="1" applyAlignment="1">
      <alignment horizontal="left" vertical="top"/>
    </xf>
    <xf numFmtId="2" fontId="6" fillId="0" borderId="15" xfId="0" applyNumberFormat="1" applyFont="1" applyBorder="1" applyAlignment="1">
      <alignment vertical="center"/>
    </xf>
    <xf numFmtId="0" fontId="2" fillId="6" borderId="14" xfId="0" applyFont="1" applyFill="1" applyBorder="1" applyAlignment="1">
      <alignment horizontal="left" vertical="top"/>
    </xf>
    <xf numFmtId="0" fontId="2" fillId="6" borderId="27" xfId="0" applyFont="1" applyFill="1" applyBorder="1" applyAlignment="1">
      <alignment horizontal="center" vertical="top"/>
    </xf>
    <xf numFmtId="0" fontId="50" fillId="0" borderId="0" xfId="0" applyFont="1"/>
    <xf numFmtId="0" fontId="50" fillId="0" borderId="0" xfId="0" applyFont="1" applyAlignment="1">
      <alignment vertical="center"/>
    </xf>
    <xf numFmtId="0" fontId="50" fillId="0" borderId="0" xfId="0" applyFont="1" applyAlignment="1">
      <alignment horizontal="center" vertical="center" wrapText="1"/>
    </xf>
    <xf numFmtId="0" fontId="50" fillId="0" borderId="0" xfId="0" applyFont="1" applyAlignment="1">
      <alignment horizontal="center" vertical="center"/>
    </xf>
    <xf numFmtId="0" fontId="48" fillId="0" borderId="0" xfId="2" applyAlignment="1">
      <alignment vertical="center" wrapText="1"/>
    </xf>
    <xf numFmtId="0" fontId="4" fillId="0" borderId="15" xfId="0" applyFont="1" applyBorder="1" applyAlignment="1">
      <alignment horizontal="center" vertical="center"/>
    </xf>
    <xf numFmtId="0" fontId="4" fillId="0" borderId="15" xfId="0" applyFont="1" applyBorder="1" applyAlignment="1">
      <alignment vertical="center"/>
    </xf>
    <xf numFmtId="0" fontId="4" fillId="6" borderId="3" xfId="0" applyFont="1" applyFill="1" applyBorder="1" applyAlignment="1">
      <alignment horizontal="left" vertical="center"/>
    </xf>
    <xf numFmtId="0" fontId="11" fillId="6" borderId="11" xfId="0" applyFont="1" applyFill="1" applyBorder="1" applyAlignment="1">
      <alignment horizontal="center" vertical="center" wrapText="1"/>
    </xf>
    <xf numFmtId="0" fontId="6" fillId="6" borderId="13" xfId="0" applyFont="1" applyFill="1" applyBorder="1" applyAlignment="1">
      <alignment horizontal="right" vertical="center" wrapText="1"/>
    </xf>
    <xf numFmtId="0" fontId="6" fillId="6" borderId="13" xfId="0" applyFont="1" applyFill="1" applyBorder="1" applyAlignment="1">
      <alignment horizontal="right" vertical="center"/>
    </xf>
    <xf numFmtId="0" fontId="2" fillId="6" borderId="13" xfId="0" applyFont="1" applyFill="1" applyBorder="1" applyAlignment="1">
      <alignment horizontal="left" vertical="center"/>
    </xf>
    <xf numFmtId="0" fontId="2" fillId="6" borderId="12" xfId="0" applyFont="1" applyFill="1" applyBorder="1" applyAlignment="1">
      <alignment horizontal="left" vertical="center"/>
    </xf>
    <xf numFmtId="0" fontId="2" fillId="0" borderId="15" xfId="0" applyFont="1" applyBorder="1" applyAlignment="1">
      <alignment horizontal="left" vertical="center"/>
    </xf>
    <xf numFmtId="0" fontId="2" fillId="0" borderId="3" xfId="0" applyFont="1" applyBorder="1" applyAlignment="1">
      <alignment horizontal="left" vertical="center"/>
    </xf>
    <xf numFmtId="0" fontId="2" fillId="6" borderId="3" xfId="0" applyFont="1" applyFill="1" applyBorder="1" applyAlignment="1">
      <alignment horizontal="left" vertical="center"/>
    </xf>
    <xf numFmtId="2" fontId="6" fillId="6" borderId="3" xfId="0" applyNumberFormat="1" applyFont="1" applyFill="1" applyBorder="1" applyAlignment="1">
      <alignment horizontal="right" vertical="center"/>
    </xf>
    <xf numFmtId="0" fontId="11" fillId="0" borderId="7" xfId="0" applyFont="1" applyBorder="1" applyAlignment="1">
      <alignment vertical="center"/>
    </xf>
    <xf numFmtId="0" fontId="11" fillId="6" borderId="35" xfId="0" applyFont="1" applyFill="1" applyBorder="1" applyAlignment="1">
      <alignment horizontal="right" vertical="center" wrapText="1"/>
    </xf>
    <xf numFmtId="167" fontId="2" fillId="0" borderId="0" xfId="0" applyNumberFormat="1" applyFont="1" applyAlignment="1">
      <alignment horizontal="left" vertical="top"/>
    </xf>
    <xf numFmtId="0" fontId="3" fillId="0" borderId="3" xfId="0" applyFont="1" applyBorder="1" applyAlignment="1">
      <alignment horizontal="center" vertical="center"/>
    </xf>
    <xf numFmtId="0" fontId="30" fillId="0" borderId="3" xfId="0" applyFont="1" applyBorder="1" applyAlignment="1">
      <alignment horizontal="right" vertical="center"/>
    </xf>
    <xf numFmtId="0" fontId="49" fillId="0" borderId="3" xfId="0" applyFont="1" applyBorder="1" applyAlignment="1">
      <alignment horizontal="left" vertical="center"/>
    </xf>
    <xf numFmtId="0" fontId="0" fillId="0" borderId="15" xfId="0" applyBorder="1" applyAlignment="1">
      <alignment horizontal="left" vertical="center" wrapText="1"/>
    </xf>
    <xf numFmtId="0" fontId="0" fillId="0" borderId="13" xfId="0" applyBorder="1" applyAlignment="1">
      <alignment horizontal="left" vertical="center" wrapText="1"/>
    </xf>
    <xf numFmtId="168" fontId="49" fillId="0" borderId="3" xfId="0" applyNumberFormat="1" applyFont="1" applyBorder="1" applyAlignment="1">
      <alignment horizontal="left" vertical="center"/>
    </xf>
    <xf numFmtId="0" fontId="53" fillId="0" borderId="0" xfId="0" applyFont="1" applyAlignment="1">
      <alignment horizontal="right" vertical="center" wrapText="1"/>
    </xf>
    <xf numFmtId="0" fontId="0" fillId="0" borderId="0" xfId="0" applyAlignment="1">
      <alignment horizontal="center" vertical="center" wrapText="1"/>
    </xf>
    <xf numFmtId="0" fontId="0" fillId="0" borderId="3" xfId="0" applyBorder="1" applyAlignment="1">
      <alignment vertical="center" wrapText="1"/>
    </xf>
    <xf numFmtId="0" fontId="54" fillId="0" borderId="3" xfId="0" applyFont="1" applyBorder="1" applyAlignment="1">
      <alignment horizontal="left" vertical="center"/>
    </xf>
    <xf numFmtId="0" fontId="16" fillId="6" borderId="0" xfId="0" applyFont="1" applyFill="1" applyAlignment="1">
      <alignment vertical="top"/>
    </xf>
    <xf numFmtId="14" fontId="0" fillId="0" borderId="0" xfId="0" applyNumberFormat="1" applyAlignment="1">
      <alignment horizontal="center" vertical="center"/>
    </xf>
    <xf numFmtId="3" fontId="2" fillId="0" borderId="0" xfId="0" applyNumberFormat="1" applyFont="1" applyAlignment="1">
      <alignment horizontal="left" vertical="top"/>
    </xf>
    <xf numFmtId="0" fontId="55" fillId="0" borderId="32" xfId="0" applyFont="1" applyBorder="1" applyAlignment="1">
      <alignment horizontal="left" vertical="center" wrapText="1"/>
    </xf>
    <xf numFmtId="0" fontId="56" fillId="0" borderId="0" xfId="0" applyFont="1"/>
    <xf numFmtId="0" fontId="30" fillId="0" borderId="0" xfId="0" applyFont="1" applyAlignment="1">
      <alignment horizontal="left" vertical="center"/>
    </xf>
    <xf numFmtId="0" fontId="30" fillId="0" borderId="0" xfId="0" applyFont="1" applyAlignment="1">
      <alignment vertical="center"/>
    </xf>
    <xf numFmtId="0" fontId="30" fillId="0" borderId="0" xfId="0" applyFont="1" applyAlignment="1">
      <alignment vertical="center" wrapText="1"/>
    </xf>
    <xf numFmtId="0" fontId="0" fillId="0" borderId="3" xfId="0" applyBorder="1"/>
    <xf numFmtId="0" fontId="8" fillId="0" borderId="0" xfId="0" applyFont="1" applyAlignment="1">
      <alignment horizontal="left" vertical="top"/>
    </xf>
    <xf numFmtId="0" fontId="59" fillId="0" borderId="0" xfId="0" applyFont="1"/>
    <xf numFmtId="0" fontId="23" fillId="0" borderId="0" xfId="0" applyFont="1" applyAlignment="1">
      <alignment vertical="top"/>
    </xf>
    <xf numFmtId="0" fontId="0" fillId="0" borderId="0" xfId="0" applyAlignment="1">
      <alignment vertical="top"/>
    </xf>
    <xf numFmtId="0" fontId="28" fillId="0" borderId="0" xfId="0" applyFont="1" applyAlignment="1">
      <alignment vertical="top" wrapText="1"/>
    </xf>
    <xf numFmtId="0" fontId="60" fillId="0" borderId="0" xfId="0" applyFont="1" applyAlignment="1">
      <alignment vertical="top" wrapText="1"/>
    </xf>
    <xf numFmtId="0" fontId="0" fillId="0" borderId="0" xfId="0" applyAlignment="1">
      <alignment vertical="top" wrapText="1"/>
    </xf>
    <xf numFmtId="164" fontId="0" fillId="9" borderId="3" xfId="0" applyNumberFormat="1" applyFill="1" applyBorder="1" applyAlignment="1" applyProtection="1">
      <alignment horizontal="center" vertical="center" wrapText="1"/>
      <protection locked="0"/>
    </xf>
    <xf numFmtId="0" fontId="45" fillId="7" borderId="3" xfId="0" applyFont="1" applyFill="1" applyBorder="1" applyAlignment="1">
      <alignment vertical="top" wrapText="1"/>
    </xf>
    <xf numFmtId="0" fontId="24" fillId="9" borderId="3" xfId="0" applyFont="1" applyFill="1" applyBorder="1" applyAlignment="1">
      <alignment vertical="top"/>
    </xf>
    <xf numFmtId="0" fontId="24" fillId="9" borderId="3" xfId="0" applyFont="1" applyFill="1" applyBorder="1" applyAlignment="1">
      <alignment horizontal="center" vertical="top"/>
    </xf>
    <xf numFmtId="0" fontId="59" fillId="11" borderId="3" xfId="0" applyFont="1" applyFill="1" applyBorder="1" applyAlignment="1">
      <alignment vertical="top"/>
    </xf>
    <xf numFmtId="0" fontId="59" fillId="10" borderId="3" xfId="0" applyFont="1" applyFill="1" applyBorder="1" applyAlignment="1">
      <alignment vertical="top" wrapText="1"/>
    </xf>
    <xf numFmtId="0" fontId="59" fillId="3" borderId="3" xfId="0" applyFont="1" applyFill="1" applyBorder="1" applyAlignment="1">
      <alignment vertical="top"/>
    </xf>
    <xf numFmtId="0" fontId="59" fillId="3" borderId="3" xfId="0" applyFont="1" applyFill="1" applyBorder="1" applyAlignment="1">
      <alignment vertical="top" wrapText="1"/>
    </xf>
    <xf numFmtId="0" fontId="30" fillId="6" borderId="3" xfId="0" applyFont="1" applyFill="1" applyBorder="1" applyAlignment="1">
      <alignment horizontal="left" vertical="top" wrapText="1"/>
    </xf>
    <xf numFmtId="0" fontId="30" fillId="3" borderId="3" xfId="0" applyFont="1" applyFill="1" applyBorder="1" applyAlignment="1">
      <alignment vertical="top" wrapText="1"/>
    </xf>
    <xf numFmtId="0" fontId="59" fillId="12" borderId="3" xfId="0" applyFont="1" applyFill="1" applyBorder="1" applyAlignment="1">
      <alignment vertical="top"/>
    </xf>
    <xf numFmtId="0" fontId="59" fillId="2" borderId="3" xfId="0" applyFont="1" applyFill="1" applyBorder="1" applyAlignment="1">
      <alignment vertical="top"/>
    </xf>
    <xf numFmtId="0" fontId="35" fillId="5" borderId="3" xfId="0" applyFont="1" applyFill="1" applyBorder="1" applyAlignment="1">
      <alignment vertical="top" wrapText="1"/>
    </xf>
    <xf numFmtId="0" fontId="47" fillId="8" borderId="3" xfId="0" applyFont="1" applyFill="1" applyBorder="1" applyAlignment="1">
      <alignment vertical="top" wrapText="1"/>
    </xf>
    <xf numFmtId="0" fontId="0" fillId="0" borderId="0" xfId="0" applyAlignment="1">
      <alignment horizontal="center" vertical="top"/>
    </xf>
    <xf numFmtId="0" fontId="44" fillId="0" borderId="0" xfId="0" applyFont="1" applyAlignment="1">
      <alignment vertical="top" wrapText="1"/>
    </xf>
    <xf numFmtId="0" fontId="44" fillId="0" borderId="0" xfId="0" quotePrefix="1" applyFont="1" applyAlignment="1">
      <alignment vertical="top" wrapText="1"/>
    </xf>
    <xf numFmtId="0" fontId="33" fillId="9" borderId="0" xfId="0" applyFont="1" applyFill="1" applyAlignment="1">
      <alignment vertical="top"/>
    </xf>
    <xf numFmtId="0" fontId="30" fillId="9" borderId="0" xfId="0" applyFont="1" applyFill="1" applyAlignment="1">
      <alignment horizontal="left" vertical="top"/>
    </xf>
    <xf numFmtId="0" fontId="43" fillId="9" borderId="0" xfId="0" applyFont="1" applyFill="1" applyAlignment="1">
      <alignment horizontal="left" vertical="top"/>
    </xf>
    <xf numFmtId="0" fontId="6" fillId="9" borderId="0" xfId="0" applyFont="1" applyFill="1" applyAlignment="1">
      <alignment horizontal="left" vertical="top"/>
    </xf>
    <xf numFmtId="0" fontId="23" fillId="0" borderId="0" xfId="0" applyFont="1" applyAlignment="1">
      <alignment vertical="center"/>
    </xf>
    <xf numFmtId="0" fontId="30" fillId="0" borderId="0" xfId="0" applyFont="1" applyAlignment="1">
      <alignment horizontal="left" vertical="center" wrapText="1"/>
    </xf>
    <xf numFmtId="0" fontId="51" fillId="0" borderId="0" xfId="0" applyFont="1" applyAlignment="1">
      <alignment horizontal="left" vertical="center" wrapText="1"/>
    </xf>
    <xf numFmtId="0" fontId="51" fillId="0" borderId="0" xfId="0" applyFont="1" applyAlignment="1">
      <alignment horizontal="left" vertical="top" wrapText="1"/>
    </xf>
    <xf numFmtId="0" fontId="30" fillId="0" borderId="0" xfId="0" applyFont="1" applyAlignment="1">
      <alignment horizontal="left" vertical="top" wrapText="1"/>
    </xf>
    <xf numFmtId="0" fontId="30" fillId="0" borderId="0" xfId="0" applyFont="1" applyAlignment="1">
      <alignment vertical="top" wrapText="1"/>
    </xf>
    <xf numFmtId="0" fontId="33" fillId="0" borderId="0" xfId="0" applyFont="1" applyAlignment="1">
      <alignment vertical="center"/>
    </xf>
    <xf numFmtId="0" fontId="43" fillId="0" borderId="0" xfId="0" applyFont="1" applyAlignment="1">
      <alignment horizontal="left" vertical="center"/>
    </xf>
    <xf numFmtId="0" fontId="51" fillId="0" borderId="0" xfId="0" applyFont="1" applyAlignment="1">
      <alignment horizontal="left" vertical="center"/>
    </xf>
    <xf numFmtId="2" fontId="30" fillId="0" borderId="0" xfId="0" applyNumberFormat="1" applyFont="1" applyAlignment="1">
      <alignment horizontal="left" vertical="center"/>
    </xf>
    <xf numFmtId="0" fontId="6" fillId="0" borderId="0" xfId="0" applyFont="1" applyAlignment="1">
      <alignment vertical="top"/>
    </xf>
    <xf numFmtId="167" fontId="6" fillId="0" borderId="0" xfId="0" applyNumberFormat="1" applyFont="1" applyAlignment="1">
      <alignment vertical="top"/>
    </xf>
    <xf numFmtId="0" fontId="21" fillId="0" borderId="0" xfId="0" applyFont="1" applyAlignment="1">
      <alignment vertical="top"/>
    </xf>
    <xf numFmtId="0" fontId="6" fillId="0" borderId="0" xfId="0" applyFont="1" applyAlignment="1">
      <alignment vertical="center"/>
    </xf>
    <xf numFmtId="0" fontId="8" fillId="0" borderId="0" xfId="0" applyFont="1" applyAlignment="1" applyProtection="1">
      <alignment vertical="top"/>
      <protection locked="0"/>
    </xf>
    <xf numFmtId="0" fontId="63" fillId="0" borderId="0" xfId="0" applyFont="1" applyAlignment="1" applyProtection="1">
      <alignment vertical="top"/>
      <protection locked="0"/>
    </xf>
    <xf numFmtId="0" fontId="6" fillId="0" borderId="0" xfId="0" applyFont="1" applyAlignment="1" applyProtection="1">
      <alignment vertical="top"/>
      <protection locked="0"/>
    </xf>
    <xf numFmtId="0" fontId="32" fillId="3" borderId="3" xfId="0" applyFont="1" applyFill="1" applyBorder="1" applyAlignment="1" applyProtection="1">
      <alignment vertical="center" wrapText="1"/>
      <protection locked="0"/>
    </xf>
    <xf numFmtId="4" fontId="6" fillId="3" borderId="3" xfId="0" applyNumberFormat="1" applyFont="1" applyFill="1" applyBorder="1" applyAlignment="1" applyProtection="1">
      <alignment horizontal="center" vertical="center"/>
      <protection locked="0"/>
    </xf>
    <xf numFmtId="2" fontId="6" fillId="3" borderId="3" xfId="0" applyNumberFormat="1" applyFont="1" applyFill="1" applyBorder="1" applyAlignment="1" applyProtection="1">
      <alignment vertical="center"/>
      <protection locked="0"/>
    </xf>
    <xf numFmtId="14" fontId="0" fillId="10" borderId="1" xfId="0" applyNumberFormat="1" applyFill="1" applyBorder="1" applyAlignment="1" applyProtection="1">
      <alignment horizontal="center" vertical="center" wrapText="1"/>
      <protection locked="0"/>
    </xf>
    <xf numFmtId="2" fontId="27" fillId="10" borderId="0" xfId="0" applyNumberFormat="1" applyFont="1" applyFill="1" applyAlignment="1" applyProtection="1">
      <alignment horizontal="center" vertical="center" wrapText="1"/>
      <protection locked="0"/>
    </xf>
    <xf numFmtId="0" fontId="0" fillId="10" borderId="15" xfId="0" applyFill="1" applyBorder="1" applyAlignment="1" applyProtection="1">
      <alignment horizontal="center" vertical="center" wrapText="1"/>
      <protection locked="0"/>
    </xf>
    <xf numFmtId="0" fontId="0" fillId="10" borderId="3" xfId="0" applyFill="1" applyBorder="1" applyAlignment="1" applyProtection="1">
      <alignment horizontal="center" vertical="center" wrapText="1"/>
      <protection locked="0"/>
    </xf>
    <xf numFmtId="0" fontId="0" fillId="10" borderId="15" xfId="0" applyFill="1" applyBorder="1" applyAlignment="1" applyProtection="1">
      <alignment horizontal="left" vertical="center" wrapText="1"/>
      <protection locked="0"/>
    </xf>
    <xf numFmtId="0" fontId="0" fillId="10" borderId="3" xfId="0" applyFill="1" applyBorder="1" applyAlignment="1" applyProtection="1">
      <alignment horizontal="left" vertical="center" wrapText="1"/>
      <protection locked="0"/>
    </xf>
    <xf numFmtId="0" fontId="0" fillId="10" borderId="13" xfId="0" applyFill="1" applyBorder="1" applyAlignment="1" applyProtection="1">
      <alignment horizontal="left" vertical="center" wrapText="1"/>
      <protection locked="0"/>
    </xf>
    <xf numFmtId="0" fontId="0" fillId="10" borderId="20" xfId="0" applyFill="1" applyBorder="1" applyAlignment="1" applyProtection="1">
      <alignment horizontal="left" vertical="center" wrapText="1"/>
      <protection locked="0"/>
    </xf>
    <xf numFmtId="0" fontId="0" fillId="10" borderId="7" xfId="0" applyFill="1" applyBorder="1" applyAlignment="1" applyProtection="1">
      <alignment horizontal="left" vertical="center" wrapText="1"/>
      <protection locked="0"/>
    </xf>
    <xf numFmtId="0" fontId="0" fillId="10" borderId="14" xfId="0" applyFill="1" applyBorder="1" applyAlignment="1" applyProtection="1">
      <alignment horizontal="left" vertical="center" wrapText="1"/>
      <protection locked="0"/>
    </xf>
    <xf numFmtId="3" fontId="6" fillId="10" borderId="3" xfId="0" applyNumberFormat="1" applyFont="1" applyFill="1" applyBorder="1" applyAlignment="1" applyProtection="1">
      <alignment horizontal="right" vertical="center"/>
      <protection locked="0"/>
    </xf>
    <xf numFmtId="4" fontId="6" fillId="10" borderId="3" xfId="0" applyNumberFormat="1" applyFont="1" applyFill="1" applyBorder="1" applyAlignment="1" applyProtection="1">
      <alignment horizontal="right" vertical="center"/>
      <protection locked="0"/>
    </xf>
    <xf numFmtId="2" fontId="6" fillId="10" borderId="3" xfId="0" applyNumberFormat="1" applyFont="1" applyFill="1" applyBorder="1" applyAlignment="1" applyProtection="1">
      <alignment horizontal="right" vertical="center" wrapText="1" indent="1"/>
      <protection locked="0"/>
    </xf>
    <xf numFmtId="10" fontId="6" fillId="10" borderId="3" xfId="1" applyNumberFormat="1" applyFont="1" applyFill="1" applyBorder="1" applyAlignment="1" applyProtection="1">
      <alignment horizontal="center" vertical="center"/>
      <protection locked="0"/>
    </xf>
    <xf numFmtId="14" fontId="6" fillId="10" borderId="3" xfId="0" applyNumberFormat="1" applyFont="1" applyFill="1" applyBorder="1" applyAlignment="1" applyProtection="1">
      <alignment horizontal="center" vertical="top"/>
      <protection locked="0"/>
    </xf>
    <xf numFmtId="164" fontId="6" fillId="10" borderId="15" xfId="0" applyNumberFormat="1" applyFont="1" applyFill="1" applyBorder="1" applyAlignment="1" applyProtection="1">
      <alignment horizontal="center" vertical="center"/>
      <protection locked="0"/>
    </xf>
    <xf numFmtId="2" fontId="6" fillId="10" borderId="3" xfId="0" applyNumberFormat="1" applyFont="1" applyFill="1" applyBorder="1" applyAlignment="1" applyProtection="1">
      <alignment horizontal="right" vertical="center"/>
      <protection locked="0"/>
    </xf>
    <xf numFmtId="167" fontId="6" fillId="10" borderId="3" xfId="0" applyNumberFormat="1" applyFont="1" applyFill="1" applyBorder="1" applyAlignment="1" applyProtection="1">
      <alignment horizontal="right" vertical="top"/>
      <protection locked="0"/>
    </xf>
    <xf numFmtId="0" fontId="6" fillId="10" borderId="9" xfId="0" applyFont="1" applyFill="1" applyBorder="1" applyAlignment="1" applyProtection="1">
      <alignment horizontal="left" vertical="center" wrapText="1"/>
      <protection locked="0"/>
    </xf>
    <xf numFmtId="3" fontId="6" fillId="10" borderId="9" xfId="0" applyNumberFormat="1" applyFont="1" applyFill="1" applyBorder="1" applyAlignment="1" applyProtection="1">
      <alignment horizontal="right" vertical="center"/>
      <protection locked="0"/>
    </xf>
    <xf numFmtId="167" fontId="6" fillId="10" borderId="9" xfId="0" applyNumberFormat="1" applyFont="1" applyFill="1" applyBorder="1" applyAlignment="1" applyProtection="1">
      <alignment horizontal="right" vertical="center"/>
      <protection locked="0"/>
    </xf>
    <xf numFmtId="3" fontId="6" fillId="10" borderId="6" xfId="0" applyNumberFormat="1" applyFont="1" applyFill="1" applyBorder="1" applyAlignment="1" applyProtection="1">
      <alignment horizontal="right" vertical="center"/>
      <protection locked="0"/>
    </xf>
    <xf numFmtId="14" fontId="6" fillId="10" borderId="15" xfId="0" applyNumberFormat="1" applyFont="1" applyFill="1" applyBorder="1" applyAlignment="1" applyProtection="1">
      <alignment horizontal="center" vertical="center"/>
      <protection locked="0"/>
    </xf>
    <xf numFmtId="167" fontId="6" fillId="10" borderId="15" xfId="0" applyNumberFormat="1" applyFont="1" applyFill="1" applyBorder="1" applyAlignment="1" applyProtection="1">
      <alignment vertical="center"/>
      <protection locked="0"/>
    </xf>
    <xf numFmtId="10" fontId="6" fillId="10" borderId="15" xfId="1" applyNumberFormat="1" applyFont="1" applyFill="1" applyBorder="1" applyAlignment="1" applyProtection="1">
      <alignment horizontal="center" vertical="center"/>
      <protection locked="0"/>
    </xf>
    <xf numFmtId="14" fontId="6" fillId="10" borderId="3" xfId="0" applyNumberFormat="1" applyFont="1" applyFill="1" applyBorder="1" applyAlignment="1" applyProtection="1">
      <alignment horizontal="center" vertical="center"/>
      <protection locked="0"/>
    </xf>
    <xf numFmtId="167" fontId="6" fillId="10" borderId="3" xfId="1" applyNumberFormat="1" applyFont="1" applyFill="1" applyBorder="1" applyAlignment="1" applyProtection="1">
      <alignment vertical="center"/>
      <protection locked="0"/>
    </xf>
    <xf numFmtId="167" fontId="6" fillId="10" borderId="3" xfId="0" applyNumberFormat="1" applyFont="1" applyFill="1" applyBorder="1" applyAlignment="1" applyProtection="1">
      <alignment vertical="center"/>
      <protection locked="0"/>
    </xf>
    <xf numFmtId="14" fontId="6" fillId="10" borderId="13" xfId="0" applyNumberFormat="1" applyFont="1" applyFill="1" applyBorder="1" applyAlignment="1" applyProtection="1">
      <alignment horizontal="center" vertical="center"/>
      <protection locked="0"/>
    </xf>
    <xf numFmtId="167" fontId="6" fillId="10" borderId="13" xfId="1" applyNumberFormat="1" applyFont="1" applyFill="1" applyBorder="1" applyAlignment="1" applyProtection="1">
      <alignment vertical="center"/>
      <protection locked="0"/>
    </xf>
    <xf numFmtId="10" fontId="6" fillId="10" borderId="13" xfId="1" applyNumberFormat="1" applyFont="1" applyFill="1" applyBorder="1" applyAlignment="1" applyProtection="1">
      <alignment horizontal="center" vertical="center"/>
      <protection locked="0"/>
    </xf>
    <xf numFmtId="167" fontId="6" fillId="10" borderId="13" xfId="0" applyNumberFormat="1" applyFont="1" applyFill="1" applyBorder="1" applyAlignment="1" applyProtection="1">
      <alignment vertical="center"/>
      <protection locked="0"/>
    </xf>
    <xf numFmtId="167" fontId="6" fillId="10" borderId="3" xfId="0" applyNumberFormat="1" applyFont="1" applyFill="1" applyBorder="1" applyAlignment="1" applyProtection="1">
      <alignment horizontal="right" vertical="center"/>
      <protection locked="0"/>
    </xf>
    <xf numFmtId="167" fontId="6" fillId="10" borderId="13" xfId="0" applyNumberFormat="1" applyFont="1" applyFill="1" applyBorder="1" applyAlignment="1" applyProtection="1">
      <alignment horizontal="right" vertical="center"/>
      <protection locked="0"/>
    </xf>
    <xf numFmtId="167" fontId="6" fillId="10" borderId="32" xfId="0" applyNumberFormat="1" applyFont="1" applyFill="1" applyBorder="1" applyAlignment="1" applyProtection="1">
      <alignment horizontal="right" vertical="center"/>
      <protection locked="0"/>
    </xf>
    <xf numFmtId="167" fontId="6" fillId="10" borderId="31" xfId="0" applyNumberFormat="1" applyFont="1" applyFill="1" applyBorder="1" applyAlignment="1" applyProtection="1">
      <alignment horizontal="right" vertical="center"/>
      <protection locked="0"/>
    </xf>
    <xf numFmtId="167" fontId="6" fillId="10" borderId="15" xfId="0" applyNumberFormat="1" applyFont="1" applyFill="1" applyBorder="1" applyAlignment="1" applyProtection="1">
      <alignment horizontal="right" vertical="center"/>
      <protection locked="0"/>
    </xf>
    <xf numFmtId="167" fontId="8" fillId="10" borderId="3" xfId="0" applyNumberFormat="1" applyFont="1" applyFill="1" applyBorder="1" applyAlignment="1" applyProtection="1">
      <alignment vertical="center"/>
      <protection locked="0"/>
    </xf>
    <xf numFmtId="167" fontId="8" fillId="10" borderId="3" xfId="0" applyNumberFormat="1" applyFont="1" applyFill="1" applyBorder="1" applyAlignment="1" applyProtection="1">
      <alignment horizontal="right" vertical="center"/>
      <protection locked="0"/>
    </xf>
    <xf numFmtId="10" fontId="6" fillId="10" borderId="3" xfId="1" applyNumberFormat="1" applyFont="1" applyFill="1" applyBorder="1" applyAlignment="1" applyProtection="1">
      <alignment horizontal="right" vertical="center"/>
      <protection locked="0"/>
    </xf>
    <xf numFmtId="0" fontId="3" fillId="10" borderId="18" xfId="0" applyFont="1" applyFill="1" applyBorder="1" applyAlignment="1" applyProtection="1">
      <alignment horizontal="center" vertical="center" wrapText="1"/>
      <protection locked="0"/>
    </xf>
    <xf numFmtId="10" fontId="3" fillId="10" borderId="18" xfId="1" applyNumberFormat="1" applyFont="1" applyFill="1" applyBorder="1" applyAlignment="1" applyProtection="1">
      <alignment horizontal="center" vertical="center" wrapText="1"/>
      <protection locked="0"/>
    </xf>
    <xf numFmtId="2" fontId="0" fillId="13" borderId="13" xfId="0" applyNumberFormat="1" applyFill="1" applyBorder="1" applyAlignment="1">
      <alignment horizontal="center" vertical="center"/>
    </xf>
    <xf numFmtId="0" fontId="30" fillId="13" borderId="0" xfId="0" applyFont="1" applyFill="1" applyAlignment="1">
      <alignment horizontal="left" vertical="center"/>
    </xf>
    <xf numFmtId="164" fontId="0" fillId="10" borderId="3" xfId="0" applyNumberFormat="1" applyFill="1" applyBorder="1" applyAlignment="1" applyProtection="1">
      <alignment horizontal="center" vertical="center" wrapText="1"/>
      <protection locked="0"/>
    </xf>
    <xf numFmtId="1" fontId="6" fillId="4" borderId="13" xfId="0" applyNumberFormat="1" applyFont="1" applyFill="1" applyBorder="1" applyAlignment="1">
      <alignment horizontal="center" vertical="center"/>
    </xf>
    <xf numFmtId="0" fontId="0" fillId="4" borderId="3" xfId="0" applyFill="1" applyBorder="1" applyAlignment="1">
      <alignment horizontal="center" vertical="center" wrapText="1"/>
    </xf>
    <xf numFmtId="166" fontId="0" fillId="4" borderId="3" xfId="0" applyNumberFormat="1" applyFill="1" applyBorder="1" applyAlignment="1">
      <alignment horizontal="center" vertical="center" wrapText="1"/>
    </xf>
    <xf numFmtId="4" fontId="6" fillId="4" borderId="3" xfId="0" applyNumberFormat="1" applyFont="1" applyFill="1" applyBorder="1" applyAlignment="1">
      <alignment horizontal="right" vertical="center"/>
    </xf>
    <xf numFmtId="3" fontId="6" fillId="4" borderId="3" xfId="0" applyNumberFormat="1" applyFont="1" applyFill="1" applyBorder="1" applyAlignment="1">
      <alignment horizontal="right" vertical="center"/>
    </xf>
    <xf numFmtId="165" fontId="22" fillId="14" borderId="0" xfId="0" applyNumberFormat="1" applyFont="1" applyFill="1" applyAlignment="1">
      <alignment horizontal="right" vertical="center"/>
    </xf>
    <xf numFmtId="165" fontId="65" fillId="14" borderId="0" xfId="0" applyNumberFormat="1" applyFont="1" applyFill="1" applyAlignment="1">
      <alignment horizontal="right" vertical="center"/>
    </xf>
    <xf numFmtId="14" fontId="3" fillId="4" borderId="13" xfId="0" applyNumberFormat="1" applyFont="1" applyFill="1" applyBorder="1" applyAlignment="1">
      <alignment horizontal="center" vertical="center"/>
    </xf>
    <xf numFmtId="167" fontId="8" fillId="4" borderId="11" xfId="0" applyNumberFormat="1" applyFont="1" applyFill="1" applyBorder="1" applyAlignment="1">
      <alignment vertical="center"/>
    </xf>
    <xf numFmtId="2" fontId="6" fillId="4" borderId="15" xfId="0" applyNumberFormat="1" applyFont="1" applyFill="1" applyBorder="1" applyAlignment="1">
      <alignment horizontal="right" vertical="top" wrapText="1" indent="1"/>
    </xf>
    <xf numFmtId="2" fontId="6" fillId="4" borderId="3" xfId="0" applyNumberFormat="1" applyFont="1" applyFill="1" applyBorder="1" applyAlignment="1">
      <alignment horizontal="right" vertical="top" wrapText="1" indent="1"/>
    </xf>
    <xf numFmtId="2" fontId="11" fillId="4" borderId="3" xfId="0" applyNumberFormat="1" applyFont="1" applyFill="1" applyBorder="1" applyAlignment="1">
      <alignment horizontal="right" vertical="top" indent="1"/>
    </xf>
    <xf numFmtId="2" fontId="6" fillId="4" borderId="3" xfId="0" applyNumberFormat="1" applyFont="1" applyFill="1" applyBorder="1" applyAlignment="1">
      <alignment horizontal="right" vertical="top" indent="1"/>
    </xf>
    <xf numFmtId="166" fontId="6" fillId="4" borderId="3" xfId="0" applyNumberFormat="1" applyFont="1" applyFill="1" applyBorder="1" applyAlignment="1">
      <alignment horizontal="right" vertical="top" wrapText="1" indent="1"/>
    </xf>
    <xf numFmtId="2" fontId="6" fillId="4" borderId="3" xfId="0" applyNumberFormat="1" applyFont="1" applyFill="1" applyBorder="1" applyAlignment="1">
      <alignment horizontal="right" vertical="center" indent="1"/>
    </xf>
    <xf numFmtId="2" fontId="6" fillId="4" borderId="3" xfId="0" applyNumberFormat="1" applyFont="1" applyFill="1" applyBorder="1" applyAlignment="1">
      <alignment vertical="center"/>
    </xf>
    <xf numFmtId="2" fontId="11" fillId="4" borderId="12" xfId="0" applyNumberFormat="1" applyFont="1" applyFill="1" applyBorder="1" applyAlignment="1">
      <alignment horizontal="right" vertical="center" wrapText="1"/>
    </xf>
    <xf numFmtId="14" fontId="6" fillId="4" borderId="3" xfId="0" applyNumberFormat="1" applyFont="1" applyFill="1" applyBorder="1" applyAlignment="1">
      <alignment horizontal="center" vertical="center"/>
    </xf>
    <xf numFmtId="2" fontId="6" fillId="4" borderId="3" xfId="0" applyNumberFormat="1" applyFont="1" applyFill="1" applyBorder="1" applyAlignment="1">
      <alignment horizontal="right" vertical="center"/>
    </xf>
    <xf numFmtId="2" fontId="6" fillId="4" borderId="13" xfId="0" applyNumberFormat="1" applyFont="1" applyFill="1" applyBorder="1" applyAlignment="1">
      <alignment horizontal="right" vertical="center"/>
    </xf>
    <xf numFmtId="167" fontId="6" fillId="4" borderId="3" xfId="0" applyNumberFormat="1" applyFont="1" applyFill="1" applyBorder="1" applyAlignment="1">
      <alignment horizontal="right" vertical="top"/>
    </xf>
    <xf numFmtId="167" fontId="8" fillId="4" borderId="3" xfId="0" applyNumberFormat="1" applyFont="1" applyFill="1" applyBorder="1" applyAlignment="1">
      <alignment horizontal="right" vertical="top"/>
    </xf>
    <xf numFmtId="167" fontId="13" fillId="4" borderId="3" xfId="0" applyNumberFormat="1" applyFont="1" applyFill="1" applyBorder="1" applyAlignment="1">
      <alignment horizontal="right" vertical="top"/>
    </xf>
    <xf numFmtId="167" fontId="13" fillId="4" borderId="13" xfId="0" applyNumberFormat="1" applyFont="1" applyFill="1" applyBorder="1" applyAlignment="1">
      <alignment horizontal="right" vertical="top"/>
    </xf>
    <xf numFmtId="3" fontId="8" fillId="4" borderId="13" xfId="0" applyNumberFormat="1" applyFont="1" applyFill="1" applyBorder="1" applyAlignment="1">
      <alignment horizontal="right" vertical="center"/>
    </xf>
    <xf numFmtId="3" fontId="8" fillId="4" borderId="0" xfId="0" applyNumberFormat="1" applyFont="1" applyFill="1" applyAlignment="1">
      <alignment horizontal="right" vertical="center"/>
    </xf>
    <xf numFmtId="167" fontId="6" fillId="4" borderId="15" xfId="0" applyNumberFormat="1" applyFont="1" applyFill="1" applyBorder="1" applyAlignment="1">
      <alignment horizontal="right" vertical="center"/>
    </xf>
    <xf numFmtId="167" fontId="6" fillId="4" borderId="3" xfId="0" applyNumberFormat="1" applyFont="1" applyFill="1" applyBorder="1" applyAlignment="1">
      <alignment horizontal="right" vertical="center"/>
    </xf>
    <xf numFmtId="167" fontId="6" fillId="4" borderId="12" xfId="0" applyNumberFormat="1" applyFont="1" applyFill="1" applyBorder="1" applyAlignment="1">
      <alignment horizontal="right" vertical="center"/>
    </xf>
    <xf numFmtId="165" fontId="17" fillId="4" borderId="0" xfId="0" applyNumberFormat="1" applyFont="1" applyFill="1" applyAlignment="1">
      <alignment horizontal="right" vertical="center"/>
    </xf>
    <xf numFmtId="167" fontId="6" fillId="4" borderId="3" xfId="0" applyNumberFormat="1" applyFont="1" applyFill="1" applyBorder="1" applyAlignment="1">
      <alignment vertical="center"/>
    </xf>
    <xf numFmtId="167" fontId="66" fillId="6" borderId="20" xfId="0" applyNumberFormat="1" applyFont="1" applyFill="1" applyBorder="1" applyAlignment="1">
      <alignment horizontal="right" vertical="center"/>
    </xf>
    <xf numFmtId="167" fontId="6" fillId="4" borderId="3" xfId="0" applyNumberFormat="1" applyFont="1" applyFill="1" applyBorder="1" applyAlignment="1">
      <alignment horizontal="left" vertical="center"/>
    </xf>
    <xf numFmtId="167" fontId="8" fillId="4" borderId="3" xfId="0" applyNumberFormat="1" applyFont="1" applyFill="1" applyBorder="1" applyAlignment="1">
      <alignment horizontal="right" vertical="center"/>
    </xf>
    <xf numFmtId="10" fontId="6" fillId="4" borderId="3" xfId="1" applyNumberFormat="1" applyFont="1" applyFill="1" applyBorder="1" applyAlignment="1">
      <alignment horizontal="right" vertical="center"/>
    </xf>
    <xf numFmtId="167" fontId="2" fillId="4" borderId="2" xfId="0" applyNumberFormat="1" applyFont="1" applyFill="1" applyBorder="1" applyAlignment="1">
      <alignment vertical="top"/>
    </xf>
    <xf numFmtId="2" fontId="3" fillId="4" borderId="9" xfId="0" applyNumberFormat="1" applyFont="1" applyFill="1" applyBorder="1" applyAlignment="1">
      <alignment horizontal="center" vertical="center"/>
    </xf>
    <xf numFmtId="10" fontId="3" fillId="4" borderId="9" xfId="1" applyNumberFormat="1" applyFont="1" applyFill="1" applyBorder="1" applyAlignment="1" applyProtection="1">
      <alignment horizontal="center" vertical="center"/>
    </xf>
    <xf numFmtId="165" fontId="22" fillId="9" borderId="0" xfId="0" applyNumberFormat="1" applyFont="1" applyFill="1" applyAlignment="1">
      <alignment horizontal="right" vertical="center"/>
    </xf>
    <xf numFmtId="165" fontId="22" fillId="0" borderId="0" xfId="0" applyNumberFormat="1" applyFont="1" applyAlignment="1">
      <alignment horizontal="right" vertical="center"/>
    </xf>
    <xf numFmtId="0" fontId="8" fillId="6" borderId="12" xfId="0" applyFont="1" applyFill="1" applyBorder="1" applyAlignment="1">
      <alignment horizontal="center" vertical="center" wrapText="1"/>
    </xf>
    <xf numFmtId="0" fontId="11" fillId="6" borderId="6" xfId="0" applyFont="1" applyFill="1" applyBorder="1" applyAlignment="1">
      <alignment horizontal="center" vertical="center" wrapText="1"/>
    </xf>
    <xf numFmtId="0" fontId="30" fillId="10" borderId="3" xfId="0" applyFont="1" applyFill="1" applyBorder="1" applyAlignment="1">
      <alignment horizontal="left" vertical="top" wrapText="1"/>
    </xf>
    <xf numFmtId="0" fontId="30" fillId="3" borderId="3" xfId="0" applyFont="1" applyFill="1" applyBorder="1" applyAlignment="1">
      <alignment horizontal="left" vertical="top" wrapText="1"/>
    </xf>
    <xf numFmtId="0" fontId="30" fillId="4" borderId="3" xfId="0" applyFont="1" applyFill="1" applyBorder="1" applyAlignment="1">
      <alignment vertical="top" wrapText="1"/>
    </xf>
    <xf numFmtId="9" fontId="2" fillId="9" borderId="0" xfId="1" applyFont="1" applyFill="1" applyAlignment="1" applyProtection="1">
      <alignment horizontal="center" vertical="top"/>
      <protection locked="0"/>
    </xf>
    <xf numFmtId="0" fontId="30" fillId="9" borderId="0" xfId="0" applyFont="1" applyFill="1" applyAlignment="1">
      <alignment horizontal="left" vertical="center"/>
    </xf>
    <xf numFmtId="0" fontId="8" fillId="6" borderId="8" xfId="0" applyFont="1" applyFill="1" applyBorder="1" applyAlignment="1">
      <alignment vertical="center"/>
    </xf>
    <xf numFmtId="0" fontId="4" fillId="6" borderId="3" xfId="0" applyFont="1" applyFill="1" applyBorder="1" applyAlignment="1">
      <alignment horizontal="left" vertical="top"/>
    </xf>
    <xf numFmtId="1" fontId="6" fillId="4" borderId="3" xfId="0" applyNumberFormat="1" applyFont="1" applyFill="1" applyBorder="1" applyAlignment="1">
      <alignment horizontal="center" vertical="center"/>
    </xf>
    <xf numFmtId="167" fontId="9" fillId="0" borderId="0" xfId="0" applyNumberFormat="1" applyFont="1" applyAlignment="1">
      <alignment vertical="top"/>
    </xf>
    <xf numFmtId="0" fontId="55" fillId="0" borderId="3" xfId="0" applyFont="1" applyBorder="1" applyAlignment="1">
      <alignment horizontal="left" vertical="center" wrapText="1"/>
    </xf>
    <xf numFmtId="167" fontId="52" fillId="8" borderId="9" xfId="0" applyNumberFormat="1" applyFont="1" applyFill="1" applyBorder="1" applyAlignment="1">
      <alignment horizontal="right" vertical="center"/>
    </xf>
    <xf numFmtId="0" fontId="32" fillId="0" borderId="3" xfId="0" applyFont="1" applyBorder="1" applyAlignment="1" applyProtection="1">
      <alignment horizontal="left" vertical="center" wrapText="1"/>
      <protection locked="0"/>
    </xf>
    <xf numFmtId="0" fontId="0" fillId="0" borderId="0" xfId="0" applyProtection="1">
      <protection locked="0"/>
    </xf>
    <xf numFmtId="0" fontId="57" fillId="0" borderId="0" xfId="0" applyFont="1" applyProtection="1">
      <protection locked="0"/>
    </xf>
    <xf numFmtId="0" fontId="0" fillId="0" borderId="3" xfId="0" applyBorder="1" applyProtection="1">
      <protection locked="0"/>
    </xf>
    <xf numFmtId="164" fontId="32" fillId="0" borderId="3" xfId="0" applyNumberFormat="1" applyFont="1" applyBorder="1" applyAlignment="1" applyProtection="1">
      <alignment horizontal="center" vertical="center" wrapText="1"/>
      <protection locked="0"/>
    </xf>
    <xf numFmtId="164" fontId="57" fillId="0" borderId="3" xfId="0" applyNumberFormat="1" applyFont="1" applyBorder="1" applyAlignment="1" applyProtection="1">
      <alignment horizontal="center" vertical="center" wrapText="1"/>
      <protection locked="0"/>
    </xf>
    <xf numFmtId="0" fontId="0" fillId="0" borderId="3" xfId="0" applyBorder="1" applyAlignment="1" applyProtection="1">
      <alignment horizontal="center" vertical="center" wrapText="1"/>
      <protection locked="0"/>
    </xf>
    <xf numFmtId="14" fontId="32" fillId="0" borderId="3" xfId="0" applyNumberFormat="1" applyFont="1" applyBorder="1" applyAlignment="1" applyProtection="1">
      <alignment horizontal="center" vertical="center" wrapText="1"/>
      <protection locked="0"/>
    </xf>
    <xf numFmtId="2" fontId="0" fillId="0" borderId="3" xfId="0" applyNumberFormat="1" applyBorder="1" applyAlignment="1" applyProtection="1">
      <alignment horizontal="center" vertical="center" wrapText="1"/>
      <protection locked="0"/>
    </xf>
    <xf numFmtId="10" fontId="0" fillId="0" borderId="3" xfId="1" applyNumberFormat="1" applyFont="1" applyBorder="1" applyAlignment="1" applyProtection="1">
      <alignment horizontal="center" vertical="center" wrapText="1"/>
      <protection locked="0"/>
    </xf>
    <xf numFmtId="10" fontId="0" fillId="9" borderId="3" xfId="1" applyNumberFormat="1" applyFont="1" applyFill="1" applyBorder="1" applyAlignment="1" applyProtection="1">
      <alignment horizontal="center" vertical="center" wrapText="1"/>
      <protection locked="0"/>
    </xf>
    <xf numFmtId="0" fontId="0" fillId="0" borderId="20" xfId="0" applyBorder="1" applyProtection="1">
      <protection locked="0"/>
    </xf>
    <xf numFmtId="0" fontId="0" fillId="0" borderId="7" xfId="0" applyBorder="1" applyProtection="1">
      <protection locked="0"/>
    </xf>
    <xf numFmtId="0" fontId="0" fillId="0" borderId="4" xfId="0" applyBorder="1" applyProtection="1">
      <protection locked="0"/>
    </xf>
    <xf numFmtId="0" fontId="23" fillId="0" borderId="18" xfId="0" applyFont="1" applyBorder="1"/>
    <xf numFmtId="0" fontId="0" fillId="0" borderId="9" xfId="0" applyBorder="1"/>
    <xf numFmtId="0" fontId="0" fillId="0" borderId="5" xfId="0" applyBorder="1"/>
    <xf numFmtId="0" fontId="33" fillId="9" borderId="7" xfId="0" applyFont="1" applyFill="1" applyBorder="1" applyAlignment="1">
      <alignment horizontal="center" vertical="center" wrapText="1"/>
    </xf>
    <xf numFmtId="0" fontId="30" fillId="9" borderId="9" xfId="0" applyFont="1" applyFill="1" applyBorder="1" applyAlignment="1">
      <alignment horizontal="center" vertical="center" wrapText="1"/>
    </xf>
    <xf numFmtId="0" fontId="23" fillId="6" borderId="0" xfId="0" applyFont="1" applyFill="1" applyAlignment="1">
      <alignment horizontal="center" vertical="center"/>
    </xf>
    <xf numFmtId="0" fontId="61" fillId="0" borderId="0" xfId="0" applyFont="1" applyAlignment="1">
      <alignment horizontal="left" vertical="top" wrapText="1"/>
    </xf>
    <xf numFmtId="0" fontId="12" fillId="3" borderId="7" xfId="0" applyFont="1" applyFill="1" applyBorder="1" applyAlignment="1" applyProtection="1">
      <alignment horizontal="left" vertical="center" wrapText="1"/>
      <protection locked="0"/>
    </xf>
    <xf numFmtId="0" fontId="12" fillId="3" borderId="8" xfId="0" applyFont="1" applyFill="1" applyBorder="1" applyAlignment="1" applyProtection="1">
      <alignment horizontal="left" vertical="center" wrapText="1"/>
      <protection locked="0"/>
    </xf>
    <xf numFmtId="0" fontId="12" fillId="3" borderId="9" xfId="0" applyFont="1" applyFill="1" applyBorder="1" applyAlignment="1" applyProtection="1">
      <alignment horizontal="left" vertical="center" wrapText="1"/>
      <protection locked="0"/>
    </xf>
    <xf numFmtId="0" fontId="29" fillId="10" borderId="1" xfId="0" applyFont="1" applyFill="1" applyBorder="1" applyAlignment="1" applyProtection="1">
      <alignment horizontal="center" wrapText="1"/>
      <protection locked="0"/>
    </xf>
    <xf numFmtId="0" fontId="26" fillId="6" borderId="3" xfId="0" applyFont="1" applyFill="1" applyBorder="1" applyAlignment="1">
      <alignment horizontal="left" vertical="top" wrapText="1"/>
    </xf>
    <xf numFmtId="0" fontId="23" fillId="6" borderId="3" xfId="0" applyFont="1" applyFill="1" applyBorder="1" applyAlignment="1">
      <alignment horizontal="left" vertical="top" wrapText="1"/>
    </xf>
    <xf numFmtId="0" fontId="37" fillId="10" borderId="1" xfId="0" applyFont="1" applyFill="1" applyBorder="1" applyAlignment="1" applyProtection="1">
      <alignment horizontal="center" wrapText="1"/>
      <protection locked="0"/>
    </xf>
    <xf numFmtId="0" fontId="26" fillId="0" borderId="0" xfId="0" applyFont="1" applyAlignment="1">
      <alignment horizontal="center" vertical="center" wrapText="1"/>
    </xf>
    <xf numFmtId="0" fontId="38" fillId="0" borderId="0" xfId="0" applyFont="1" applyAlignment="1">
      <alignment horizontal="center" vertical="center" wrapText="1"/>
    </xf>
    <xf numFmtId="0" fontId="23" fillId="6" borderId="6" xfId="0" applyFont="1" applyFill="1" applyBorder="1" applyAlignment="1">
      <alignment horizontal="left" vertical="top" wrapText="1"/>
    </xf>
    <xf numFmtId="0" fontId="0" fillId="0" borderId="4" xfId="0" applyBorder="1" applyAlignment="1">
      <alignment horizontal="center" vertical="center" wrapText="1"/>
    </xf>
    <xf numFmtId="0" fontId="0" fillId="0" borderId="5" xfId="0" applyBorder="1" applyAlignment="1">
      <alignment horizontal="center" vertical="center" wrapText="1"/>
    </xf>
    <xf numFmtId="0" fontId="0" fillId="0" borderId="33" xfId="0" applyBorder="1" applyAlignment="1">
      <alignment horizontal="center" vertical="center" wrapText="1"/>
    </xf>
    <xf numFmtId="0" fontId="0" fillId="0" borderId="23" xfId="0" applyBorder="1" applyAlignment="1">
      <alignment horizontal="center" vertical="center" wrapText="1"/>
    </xf>
    <xf numFmtId="0" fontId="0" fillId="0" borderId="10" xfId="0" applyBorder="1" applyAlignment="1">
      <alignment horizontal="center" vertical="center" wrapText="1"/>
    </xf>
    <xf numFmtId="0" fontId="0" fillId="0" borderId="11" xfId="0" applyBorder="1" applyAlignment="1">
      <alignment horizontal="center" vertical="center" wrapText="1"/>
    </xf>
    <xf numFmtId="0" fontId="24" fillId="0" borderId="0" xfId="0" applyFont="1" applyAlignment="1">
      <alignment horizontal="center" vertical="center"/>
    </xf>
    <xf numFmtId="0" fontId="30" fillId="10" borderId="3" xfId="0" applyFont="1" applyFill="1" applyBorder="1" applyAlignment="1" applyProtection="1">
      <alignment horizontal="left" vertical="top" wrapText="1"/>
      <protection locked="0"/>
    </xf>
    <xf numFmtId="0" fontId="30" fillId="10" borderId="7" xfId="0" applyFont="1" applyFill="1" applyBorder="1" applyAlignment="1" applyProtection="1">
      <alignment horizontal="center" vertical="top" wrapText="1"/>
      <protection locked="0"/>
    </xf>
    <xf numFmtId="0" fontId="30" fillId="10" borderId="8" xfId="0" applyFont="1" applyFill="1" applyBorder="1" applyAlignment="1" applyProtection="1">
      <alignment horizontal="center" vertical="top" wrapText="1"/>
      <protection locked="0"/>
    </xf>
    <xf numFmtId="0" fontId="30" fillId="10" borderId="9" xfId="0" applyFont="1" applyFill="1" applyBorder="1" applyAlignment="1" applyProtection="1">
      <alignment horizontal="center" vertical="top" wrapText="1"/>
      <protection locked="0"/>
    </xf>
    <xf numFmtId="0" fontId="0" fillId="10" borderId="3" xfId="0" applyFill="1" applyBorder="1" applyAlignment="1" applyProtection="1">
      <alignment horizontal="center" vertical="center" wrapText="1"/>
      <protection locked="0"/>
    </xf>
    <xf numFmtId="0" fontId="0" fillId="10" borderId="13" xfId="0" applyFill="1" applyBorder="1" applyAlignment="1" applyProtection="1">
      <alignment horizontal="center" vertical="center" wrapText="1"/>
      <protection locked="0"/>
    </xf>
    <xf numFmtId="0" fontId="6" fillId="6" borderId="13" xfId="0" applyFont="1" applyFill="1" applyBorder="1" applyAlignment="1">
      <alignment horizontal="center" vertical="center" wrapText="1"/>
    </xf>
    <xf numFmtId="0" fontId="0" fillId="3" borderId="3" xfId="0" applyFill="1" applyBorder="1" applyAlignment="1" applyProtection="1">
      <alignment horizontal="left" vertical="center"/>
      <protection locked="0"/>
    </xf>
    <xf numFmtId="0" fontId="23" fillId="6" borderId="7" xfId="0" applyFont="1" applyFill="1" applyBorder="1" applyAlignment="1">
      <alignment horizontal="left" vertical="top" wrapText="1"/>
    </xf>
    <xf numFmtId="0" fontId="23" fillId="6" borderId="8" xfId="0" applyFont="1" applyFill="1" applyBorder="1" applyAlignment="1">
      <alignment horizontal="left" vertical="top" wrapText="1"/>
    </xf>
    <xf numFmtId="0" fontId="30" fillId="0" borderId="0" xfId="0" applyFont="1" applyAlignment="1">
      <alignment horizontal="left" vertical="top" wrapText="1"/>
    </xf>
    <xf numFmtId="0" fontId="6" fillId="6" borderId="6" xfId="0" applyFont="1" applyFill="1" applyBorder="1" applyAlignment="1">
      <alignment horizontal="center" vertical="center"/>
    </xf>
    <xf numFmtId="0" fontId="6" fillId="6" borderId="12" xfId="0" applyFont="1" applyFill="1" applyBorder="1" applyAlignment="1">
      <alignment horizontal="center" vertical="center"/>
    </xf>
    <xf numFmtId="0" fontId="6" fillId="6" borderId="6" xfId="0" applyFont="1" applyFill="1" applyBorder="1" applyAlignment="1">
      <alignment horizontal="center" vertical="center" wrapText="1"/>
    </xf>
    <xf numFmtId="0" fontId="6" fillId="6" borderId="12" xfId="0" applyFont="1" applyFill="1" applyBorder="1" applyAlignment="1">
      <alignment horizontal="center" vertical="center" wrapText="1"/>
    </xf>
    <xf numFmtId="0" fontId="8" fillId="6" borderId="7" xfId="0" applyFont="1" applyFill="1" applyBorder="1" applyAlignment="1">
      <alignment horizontal="center" vertical="center"/>
    </xf>
    <xf numFmtId="0" fontId="8" fillId="6" borderId="8" xfId="0" applyFont="1" applyFill="1" applyBorder="1" applyAlignment="1">
      <alignment horizontal="center" vertical="center"/>
    </xf>
    <xf numFmtId="0" fontId="0" fillId="10" borderId="20" xfId="0" applyFill="1" applyBorder="1" applyAlignment="1" applyProtection="1">
      <alignment horizontal="center" vertical="center" wrapText="1"/>
      <protection locked="0"/>
    </xf>
    <xf numFmtId="0" fontId="0" fillId="10" borderId="18" xfId="0" applyFill="1" applyBorder="1" applyAlignment="1" applyProtection="1">
      <alignment horizontal="center" vertical="center" wrapText="1"/>
      <protection locked="0"/>
    </xf>
    <xf numFmtId="0" fontId="0" fillId="10" borderId="7" xfId="0" applyFill="1" applyBorder="1" applyAlignment="1" applyProtection="1">
      <alignment horizontal="center" vertical="center" wrapText="1"/>
      <protection locked="0"/>
    </xf>
    <xf numFmtId="0" fontId="0" fillId="10" borderId="9" xfId="0" applyFill="1" applyBorder="1" applyAlignment="1" applyProtection="1">
      <alignment horizontal="center" vertical="center" wrapText="1"/>
      <protection locked="0"/>
    </xf>
    <xf numFmtId="0" fontId="23" fillId="6" borderId="3" xfId="0" applyFont="1" applyFill="1" applyBorder="1" applyAlignment="1">
      <alignment horizontal="left" vertical="center" wrapText="1"/>
    </xf>
    <xf numFmtId="0" fontId="0" fillId="3" borderId="15" xfId="0" applyFill="1" applyBorder="1" applyAlignment="1" applyProtection="1">
      <alignment horizontal="left" vertical="center"/>
      <protection locked="0"/>
    </xf>
    <xf numFmtId="0" fontId="23" fillId="6" borderId="4" xfId="0" applyFont="1" applyFill="1" applyBorder="1" applyAlignment="1">
      <alignment horizontal="left" vertical="center" wrapText="1"/>
    </xf>
    <xf numFmtId="0" fontId="23" fillId="6" borderId="25" xfId="0" applyFont="1" applyFill="1" applyBorder="1" applyAlignment="1">
      <alignment horizontal="left" vertical="center" wrapText="1"/>
    </xf>
    <xf numFmtId="0" fontId="30" fillId="10" borderId="13" xfId="0" applyFont="1" applyFill="1" applyBorder="1" applyAlignment="1" applyProtection="1">
      <alignment horizontal="center" vertical="top" wrapText="1"/>
      <protection locked="0"/>
    </xf>
    <xf numFmtId="0" fontId="30" fillId="0" borderId="2" xfId="0" applyFont="1" applyBorder="1" applyAlignment="1">
      <alignment horizontal="left" vertical="top" wrapText="1"/>
    </xf>
    <xf numFmtId="0" fontId="0" fillId="10" borderId="14" xfId="0" applyFill="1" applyBorder="1" applyAlignment="1" applyProtection="1">
      <alignment horizontal="center" vertical="center" wrapText="1"/>
      <protection locked="0"/>
    </xf>
    <xf numFmtId="0" fontId="0" fillId="10" borderId="27" xfId="0" applyFill="1" applyBorder="1" applyAlignment="1" applyProtection="1">
      <alignment horizontal="center" vertical="center" wrapText="1"/>
      <protection locked="0"/>
    </xf>
    <xf numFmtId="0" fontId="0" fillId="3" borderId="13" xfId="0" applyFill="1" applyBorder="1" applyAlignment="1" applyProtection="1">
      <alignment horizontal="left" vertical="center"/>
      <protection locked="0"/>
    </xf>
    <xf numFmtId="0" fontId="0" fillId="10" borderId="15" xfId="0" applyFill="1" applyBorder="1" applyAlignment="1" applyProtection="1">
      <alignment horizontal="center" vertical="center" wrapText="1"/>
      <protection locked="0"/>
    </xf>
    <xf numFmtId="0" fontId="6" fillId="10" borderId="17" xfId="0" applyFont="1" applyFill="1" applyBorder="1" applyAlignment="1" applyProtection="1">
      <alignment horizontal="left" vertical="center" wrapText="1"/>
      <protection locked="0"/>
    </xf>
    <xf numFmtId="0" fontId="6" fillId="10" borderId="8" xfId="0" applyFont="1" applyFill="1" applyBorder="1" applyAlignment="1" applyProtection="1">
      <alignment horizontal="center" vertical="center" wrapText="1"/>
      <protection locked="0"/>
    </xf>
    <xf numFmtId="0" fontId="8" fillId="10" borderId="2" xfId="0" applyFont="1" applyFill="1" applyBorder="1" applyAlignment="1" applyProtection="1">
      <alignment horizontal="center" vertical="center"/>
      <protection locked="0"/>
    </xf>
    <xf numFmtId="0" fontId="6" fillId="10" borderId="16" xfId="0" applyFont="1" applyFill="1" applyBorder="1" applyAlignment="1" applyProtection="1">
      <alignment horizontal="left" vertical="center" wrapText="1"/>
      <protection locked="0"/>
    </xf>
    <xf numFmtId="0" fontId="6" fillId="10" borderId="3" xfId="0" applyFont="1" applyFill="1" applyBorder="1" applyAlignment="1" applyProtection="1">
      <alignment horizontal="center" vertical="center" wrapText="1"/>
      <protection locked="0"/>
    </xf>
    <xf numFmtId="0" fontId="8" fillId="10" borderId="20" xfId="0" applyFont="1" applyFill="1" applyBorder="1" applyAlignment="1" applyProtection="1">
      <alignment horizontal="center" vertical="center"/>
      <protection locked="0"/>
    </xf>
    <xf numFmtId="0" fontId="6" fillId="10" borderId="7" xfId="0" applyFont="1" applyFill="1" applyBorder="1" applyAlignment="1" applyProtection="1">
      <alignment horizontal="center" vertical="center" wrapText="1"/>
      <protection locked="0"/>
    </xf>
    <xf numFmtId="0" fontId="8" fillId="10" borderId="33" xfId="0" applyFont="1" applyFill="1" applyBorder="1" applyAlignment="1" applyProtection="1">
      <alignment horizontal="center" vertical="center"/>
      <protection locked="0"/>
    </xf>
    <xf numFmtId="0" fontId="8" fillId="10" borderId="0" xfId="0" applyFont="1" applyFill="1" applyAlignment="1" applyProtection="1">
      <alignment horizontal="center" vertical="center"/>
      <protection locked="0"/>
    </xf>
    <xf numFmtId="0" fontId="4" fillId="6" borderId="0" xfId="0" applyFont="1" applyFill="1" applyAlignment="1">
      <alignment horizontal="left" vertical="center"/>
    </xf>
    <xf numFmtId="0" fontId="8" fillId="6" borderId="4" xfId="0" applyFont="1" applyFill="1" applyBorder="1" applyAlignment="1">
      <alignment horizontal="center" vertical="center"/>
    </xf>
    <xf numFmtId="0" fontId="8" fillId="6" borderId="5" xfId="0" applyFont="1" applyFill="1" applyBorder="1" applyAlignment="1">
      <alignment horizontal="center" vertical="center"/>
    </xf>
    <xf numFmtId="0" fontId="8" fillId="6" borderId="10" xfId="0" applyFont="1" applyFill="1" applyBorder="1" applyAlignment="1">
      <alignment horizontal="center" vertical="center"/>
    </xf>
    <xf numFmtId="0" fontId="8" fillId="6" borderId="11" xfId="0" applyFont="1" applyFill="1" applyBorder="1" applyAlignment="1">
      <alignment horizontal="center" vertical="center"/>
    </xf>
    <xf numFmtId="0" fontId="8" fillId="6" borderId="6" xfId="0" applyFont="1" applyFill="1" applyBorder="1" applyAlignment="1">
      <alignment horizontal="center" vertical="center" wrapText="1"/>
    </xf>
    <xf numFmtId="0" fontId="8" fillId="6" borderId="12" xfId="0" applyFont="1" applyFill="1" applyBorder="1" applyAlignment="1">
      <alignment horizontal="center" vertical="center" wrapText="1"/>
    </xf>
    <xf numFmtId="0" fontId="8" fillId="10" borderId="15" xfId="0" applyFont="1" applyFill="1" applyBorder="1" applyAlignment="1" applyProtection="1">
      <alignment horizontal="center" vertical="center"/>
      <protection locked="0"/>
    </xf>
    <xf numFmtId="0" fontId="6" fillId="10" borderId="7" xfId="0" applyFont="1" applyFill="1" applyBorder="1" applyAlignment="1" applyProtection="1">
      <alignment horizontal="left" vertical="center"/>
      <protection locked="0"/>
    </xf>
    <xf numFmtId="0" fontId="6" fillId="10" borderId="9" xfId="0" applyFont="1" applyFill="1" applyBorder="1" applyAlignment="1" applyProtection="1">
      <alignment horizontal="left" vertical="center"/>
      <protection locked="0"/>
    </xf>
    <xf numFmtId="0" fontId="4" fillId="6" borderId="0" xfId="0" applyFont="1" applyFill="1" applyAlignment="1">
      <alignment horizontal="left" vertical="top"/>
    </xf>
    <xf numFmtId="0" fontId="4" fillId="6" borderId="3" xfId="0" applyFont="1" applyFill="1" applyBorder="1" applyAlignment="1">
      <alignment horizontal="left" vertical="center"/>
    </xf>
    <xf numFmtId="0" fontId="8" fillId="6" borderId="0" xfId="0" applyFont="1" applyFill="1" applyAlignment="1">
      <alignment horizontal="left" vertical="top" wrapText="1"/>
    </xf>
    <xf numFmtId="0" fontId="51" fillId="0" borderId="0" xfId="0" applyFont="1" applyAlignment="1">
      <alignment horizontal="center" vertical="center" wrapText="1"/>
    </xf>
    <xf numFmtId="0" fontId="11" fillId="6" borderId="6" xfId="0" applyFont="1" applyFill="1" applyBorder="1" applyAlignment="1">
      <alignment horizontal="center" vertical="center" wrapText="1"/>
    </xf>
    <xf numFmtId="0" fontId="11" fillId="6" borderId="12" xfId="0" applyFont="1" applyFill="1" applyBorder="1" applyAlignment="1">
      <alignment horizontal="center" vertical="center" wrapText="1"/>
    </xf>
    <xf numFmtId="0" fontId="6" fillId="10" borderId="13" xfId="0" applyFont="1" applyFill="1" applyBorder="1" applyAlignment="1" applyProtection="1">
      <alignment horizontal="left" vertical="center"/>
      <protection locked="0"/>
    </xf>
    <xf numFmtId="0" fontId="6" fillId="10" borderId="14" xfId="0" applyFont="1" applyFill="1" applyBorder="1" applyAlignment="1" applyProtection="1">
      <alignment horizontal="left" vertical="center" wrapText="1"/>
      <protection locked="0"/>
    </xf>
    <xf numFmtId="0" fontId="6" fillId="10" borderId="28" xfId="0" applyFont="1" applyFill="1" applyBorder="1" applyAlignment="1" applyProtection="1">
      <alignment horizontal="left" vertical="center" wrapText="1"/>
      <protection locked="0"/>
    </xf>
    <xf numFmtId="0" fontId="6" fillId="10" borderId="27" xfId="0" applyFont="1" applyFill="1" applyBorder="1" applyAlignment="1" applyProtection="1">
      <alignment horizontal="left" vertical="center" wrapText="1"/>
      <protection locked="0"/>
    </xf>
    <xf numFmtId="0" fontId="4" fillId="0" borderId="10" xfId="0" applyFont="1" applyBorder="1" applyAlignment="1">
      <alignment horizontal="center" vertical="center"/>
    </xf>
    <xf numFmtId="0" fontId="4" fillId="0" borderId="29" xfId="0" applyFont="1" applyBorder="1" applyAlignment="1">
      <alignment horizontal="center" vertical="center"/>
    </xf>
    <xf numFmtId="0" fontId="11" fillId="6" borderId="3" xfId="0" applyFont="1" applyFill="1" applyBorder="1" applyAlignment="1">
      <alignment horizontal="center" vertical="center" wrapText="1"/>
    </xf>
    <xf numFmtId="0" fontId="30" fillId="0" borderId="0" xfId="0" applyFont="1" applyAlignment="1">
      <alignment horizontal="left" vertical="center" wrapText="1"/>
    </xf>
    <xf numFmtId="0" fontId="30" fillId="0" borderId="0" xfId="0" applyFont="1" applyAlignment="1">
      <alignment horizontal="center" vertical="center" wrapText="1"/>
    </xf>
    <xf numFmtId="0" fontId="8" fillId="6" borderId="9" xfId="0" applyFont="1" applyFill="1" applyBorder="1" applyAlignment="1">
      <alignment horizontal="center" vertical="center"/>
    </xf>
    <xf numFmtId="0" fontId="4" fillId="6" borderId="7" xfId="0" applyFont="1" applyFill="1" applyBorder="1" applyAlignment="1">
      <alignment horizontal="center" vertical="top"/>
    </xf>
    <xf numFmtId="0" fontId="4" fillId="6" borderId="8" xfId="0" applyFont="1" applyFill="1" applyBorder="1" applyAlignment="1">
      <alignment horizontal="center" vertical="top"/>
    </xf>
    <xf numFmtId="0" fontId="4" fillId="6" borderId="9" xfId="0" applyFont="1" applyFill="1" applyBorder="1" applyAlignment="1">
      <alignment horizontal="center" vertical="top"/>
    </xf>
    <xf numFmtId="0" fontId="6" fillId="10" borderId="15" xfId="0" applyFont="1" applyFill="1" applyBorder="1" applyAlignment="1" applyProtection="1">
      <alignment horizontal="left" vertical="center"/>
      <protection locked="0"/>
    </xf>
    <xf numFmtId="0" fontId="6" fillId="10" borderId="3" xfId="0" applyFont="1" applyFill="1" applyBorder="1" applyAlignment="1" applyProtection="1">
      <alignment horizontal="left" vertical="center"/>
      <protection locked="0"/>
    </xf>
    <xf numFmtId="0" fontId="6" fillId="10" borderId="7" xfId="0" applyFont="1" applyFill="1" applyBorder="1" applyAlignment="1" applyProtection="1">
      <alignment horizontal="left" vertical="center" wrapText="1"/>
      <protection locked="0"/>
    </xf>
    <xf numFmtId="0" fontId="6" fillId="10" borderId="8" xfId="0" applyFont="1" applyFill="1" applyBorder="1" applyAlignment="1" applyProtection="1">
      <alignment horizontal="left" vertical="center" wrapText="1"/>
      <protection locked="0"/>
    </xf>
    <xf numFmtId="0" fontId="6" fillId="10" borderId="9" xfId="0" applyFont="1" applyFill="1" applyBorder="1" applyAlignment="1" applyProtection="1">
      <alignment horizontal="left" vertical="center" wrapText="1"/>
      <protection locked="0"/>
    </xf>
    <xf numFmtId="0" fontId="6" fillId="10" borderId="20" xfId="0" applyFont="1" applyFill="1" applyBorder="1" applyAlignment="1" applyProtection="1">
      <alignment horizontal="left" vertical="center" wrapText="1"/>
      <protection locked="0"/>
    </xf>
    <xf numFmtId="0" fontId="6" fillId="10" borderId="2" xfId="0" applyFont="1" applyFill="1" applyBorder="1" applyAlignment="1" applyProtection="1">
      <alignment horizontal="left" vertical="center" wrapText="1"/>
      <protection locked="0"/>
    </xf>
    <xf numFmtId="0" fontId="6" fillId="10" borderId="18" xfId="0" applyFont="1" applyFill="1" applyBorder="1" applyAlignment="1" applyProtection="1">
      <alignment horizontal="left" vertical="center" wrapText="1"/>
      <protection locked="0"/>
    </xf>
    <xf numFmtId="0" fontId="4" fillId="6" borderId="0" xfId="0" applyFont="1" applyFill="1" applyAlignment="1">
      <alignment horizontal="left" vertical="top" wrapText="1"/>
    </xf>
    <xf numFmtId="0" fontId="2" fillId="6" borderId="3" xfId="0" applyFont="1" applyFill="1" applyBorder="1" applyAlignment="1">
      <alignment horizontal="center" vertical="center" wrapText="1"/>
    </xf>
    <xf numFmtId="0" fontId="2" fillId="6" borderId="13" xfId="0" applyFont="1" applyFill="1" applyBorder="1" applyAlignment="1">
      <alignment horizontal="center" vertical="center" wrapText="1"/>
    </xf>
    <xf numFmtId="0" fontId="3" fillId="6" borderId="3" xfId="0" applyFont="1" applyFill="1" applyBorder="1" applyAlignment="1">
      <alignment horizontal="center" vertical="center" wrapText="1"/>
    </xf>
    <xf numFmtId="0" fontId="3" fillId="6" borderId="13" xfId="0" applyFont="1" applyFill="1" applyBorder="1" applyAlignment="1">
      <alignment horizontal="center" vertical="center" wrapText="1"/>
    </xf>
    <xf numFmtId="0" fontId="3" fillId="6" borderId="6" xfId="0" applyFont="1" applyFill="1" applyBorder="1" applyAlignment="1">
      <alignment horizontal="center" vertical="center" wrapText="1"/>
    </xf>
    <xf numFmtId="0" fontId="3" fillId="6" borderId="12" xfId="0" applyFont="1" applyFill="1" applyBorder="1" applyAlignment="1">
      <alignment horizontal="center" vertical="center" wrapText="1"/>
    </xf>
    <xf numFmtId="0" fontId="3" fillId="6" borderId="4" xfId="0" applyFont="1" applyFill="1" applyBorder="1" applyAlignment="1">
      <alignment horizontal="center" vertical="center" wrapText="1"/>
    </xf>
    <xf numFmtId="0" fontId="3" fillId="6" borderId="25" xfId="0" applyFont="1" applyFill="1" applyBorder="1" applyAlignment="1">
      <alignment horizontal="center" vertical="center" wrapText="1"/>
    </xf>
    <xf numFmtId="0" fontId="3" fillId="6" borderId="5" xfId="0" applyFont="1" applyFill="1" applyBorder="1" applyAlignment="1">
      <alignment horizontal="center" vertical="center" wrapText="1"/>
    </xf>
    <xf numFmtId="0" fontId="3" fillId="6" borderId="10" xfId="0" applyFont="1" applyFill="1" applyBorder="1" applyAlignment="1">
      <alignment horizontal="center" vertical="center" wrapText="1"/>
    </xf>
    <xf numFmtId="0" fontId="3" fillId="6" borderId="29" xfId="0" applyFont="1" applyFill="1" applyBorder="1" applyAlignment="1">
      <alignment horizontal="center" vertical="center" wrapText="1"/>
    </xf>
    <xf numFmtId="0" fontId="3" fillId="6" borderId="11" xfId="0" applyFont="1" applyFill="1" applyBorder="1" applyAlignment="1">
      <alignment horizontal="center" vertical="center" wrapText="1"/>
    </xf>
    <xf numFmtId="0" fontId="8" fillId="6" borderId="6" xfId="0" applyFont="1" applyFill="1" applyBorder="1" applyAlignment="1">
      <alignment horizontal="center" vertical="center"/>
    </xf>
    <xf numFmtId="0" fontId="8" fillId="6" borderId="12" xfId="0" applyFont="1" applyFill="1" applyBorder="1" applyAlignment="1">
      <alignment horizontal="center" vertical="center"/>
    </xf>
    <xf numFmtId="0" fontId="54" fillId="0" borderId="0" xfId="0" applyFont="1" applyAlignment="1">
      <alignment horizontal="center" vertical="top" wrapText="1"/>
    </xf>
    <xf numFmtId="167" fontId="6" fillId="10" borderId="7" xfId="0" applyNumberFormat="1" applyFont="1" applyFill="1" applyBorder="1" applyAlignment="1" applyProtection="1">
      <alignment horizontal="left" vertical="center"/>
      <protection locked="0"/>
    </xf>
    <xf numFmtId="167" fontId="6" fillId="10" borderId="8" xfId="0" applyNumberFormat="1" applyFont="1" applyFill="1" applyBorder="1" applyAlignment="1" applyProtection="1">
      <alignment horizontal="left" vertical="center"/>
      <protection locked="0"/>
    </xf>
    <xf numFmtId="0" fontId="2" fillId="10" borderId="0" xfId="0" applyFont="1" applyFill="1" applyAlignment="1" applyProtection="1">
      <alignment horizontal="center" vertical="top"/>
      <protection locked="0"/>
    </xf>
    <xf numFmtId="0" fontId="2" fillId="0" borderId="0" xfId="0" applyFont="1" applyAlignment="1">
      <alignment horizontal="center" vertical="top" wrapText="1"/>
    </xf>
    <xf numFmtId="0" fontId="4" fillId="0" borderId="0" xfId="0" applyFont="1" applyAlignment="1">
      <alignment horizontal="center" vertical="top"/>
    </xf>
    <xf numFmtId="0" fontId="16" fillId="6" borderId="0" xfId="0" applyFont="1" applyFill="1" applyAlignment="1">
      <alignment horizontal="center" vertical="top" wrapText="1"/>
    </xf>
    <xf numFmtId="0" fontId="11" fillId="6" borderId="6" xfId="0" applyFont="1" applyFill="1" applyBorder="1" applyAlignment="1">
      <alignment horizontal="center" vertical="center"/>
    </xf>
    <xf numFmtId="0" fontId="11" fillId="6" borderId="12" xfId="0" applyFont="1" applyFill="1" applyBorder="1" applyAlignment="1">
      <alignment horizontal="center" vertical="center"/>
    </xf>
    <xf numFmtId="0" fontId="8" fillId="6" borderId="7" xfId="0" applyFont="1" applyFill="1" applyBorder="1" applyAlignment="1">
      <alignment horizontal="center" vertical="center" wrapText="1"/>
    </xf>
    <xf numFmtId="0" fontId="8" fillId="6" borderId="8" xfId="0" applyFont="1" applyFill="1" applyBorder="1" applyAlignment="1">
      <alignment horizontal="center" vertical="center" wrapText="1"/>
    </xf>
    <xf numFmtId="0" fontId="8" fillId="6" borderId="9" xfId="0" applyFont="1" applyFill="1" applyBorder="1" applyAlignment="1">
      <alignment horizontal="center" vertical="center" wrapText="1"/>
    </xf>
  </cellXfs>
  <cellStyles count="3">
    <cellStyle name="Hipersaitas" xfId="2" builtinId="8"/>
    <cellStyle name="Įprastas" xfId="0" builtinId="0"/>
    <cellStyle name="Procentai" xfId="1" builtinId="5"/>
  </cellStyles>
  <dxfs count="127">
    <dxf>
      <fill>
        <patternFill>
          <bgColor rgb="FFFFF0D2"/>
        </patternFill>
      </fill>
    </dxf>
    <dxf>
      <fill>
        <patternFill>
          <bgColor theme="1" tint="0.499984740745262"/>
        </patternFill>
      </fill>
    </dxf>
    <dxf>
      <font>
        <color rgb="FFC00000"/>
      </font>
      <fill>
        <patternFill>
          <bgColor rgb="FFFFCCCC"/>
        </patternFill>
      </fill>
    </dxf>
    <dxf>
      <font>
        <color rgb="FFC00000"/>
      </font>
      <fill>
        <patternFill>
          <bgColor rgb="FFFFCDCD"/>
        </patternFill>
      </fill>
    </dxf>
    <dxf>
      <font>
        <color rgb="FFC00000"/>
      </font>
      <fill>
        <patternFill>
          <bgColor rgb="FFFFCDCD"/>
        </patternFill>
      </fill>
    </dxf>
    <dxf>
      <font>
        <color rgb="FFC00000"/>
      </font>
      <fill>
        <patternFill>
          <bgColor rgb="FFFFCDCD"/>
        </patternFill>
      </fill>
    </dxf>
    <dxf>
      <font>
        <color rgb="FFC00000"/>
      </font>
      <fill>
        <patternFill>
          <bgColor rgb="FFFFCDCD"/>
        </patternFill>
      </fill>
    </dxf>
    <dxf>
      <font>
        <color rgb="FFFF0000"/>
      </font>
      <fill>
        <patternFill patternType="solid">
          <bgColor theme="0" tint="-4.9989318521683403E-2"/>
        </patternFill>
      </fill>
      <border>
        <left style="thin">
          <color auto="1"/>
        </left>
        <right style="thin">
          <color auto="1"/>
        </right>
        <top style="thin">
          <color auto="1"/>
        </top>
        <bottom style="thin">
          <color auto="1"/>
        </bottom>
        <vertical/>
        <horizontal/>
      </border>
    </dxf>
    <dxf>
      <font>
        <color rgb="FFFF0000"/>
      </font>
      <fill>
        <patternFill patternType="solid">
          <bgColor theme="0" tint="-4.9989318521683403E-2"/>
        </patternFill>
      </fill>
      <border>
        <left style="thin">
          <color auto="1"/>
        </left>
        <right style="thin">
          <color auto="1"/>
        </right>
        <top style="thin">
          <color auto="1"/>
        </top>
        <bottom style="thin">
          <color auto="1"/>
        </bottom>
        <vertical/>
        <horizontal/>
      </border>
    </dxf>
    <dxf>
      <font>
        <color rgb="FFFF0000"/>
      </font>
      <fill>
        <patternFill patternType="solid">
          <bgColor theme="0" tint="-4.9989318521683403E-2"/>
        </patternFill>
      </fill>
      <border>
        <left style="thin">
          <color auto="1"/>
        </left>
        <right style="thin">
          <color auto="1"/>
        </right>
        <top style="thin">
          <color auto="1"/>
        </top>
        <bottom style="thin">
          <color auto="1"/>
        </bottom>
        <vertical/>
        <horizontal/>
      </border>
    </dxf>
    <dxf>
      <fill>
        <patternFill>
          <bgColor rgb="FFFFF0D2"/>
        </patternFill>
      </fill>
    </dxf>
    <dxf>
      <fill>
        <patternFill>
          <bgColor theme="1" tint="0.499984740745262"/>
        </patternFill>
      </fill>
    </dxf>
    <dxf>
      <font>
        <color rgb="FF9C0006"/>
      </font>
      <fill>
        <patternFill>
          <bgColor rgb="FFFFC7CE"/>
        </patternFill>
      </fill>
    </dxf>
    <dxf>
      <font>
        <color rgb="FF9C0006"/>
      </font>
      <fill>
        <patternFill>
          <bgColor rgb="FFFFC7CE"/>
        </patternFill>
      </fill>
    </dxf>
    <dxf>
      <font>
        <color rgb="FF9C5700"/>
      </font>
      <fill>
        <patternFill>
          <bgColor rgb="FFFFEB9C"/>
        </patternFill>
      </fill>
    </dxf>
    <dxf>
      <font>
        <color rgb="FF9C5700"/>
      </font>
      <fill>
        <patternFill>
          <bgColor rgb="FFFFEB9C"/>
        </patternFill>
      </fill>
    </dxf>
    <dxf>
      <font>
        <color rgb="FFFF0000"/>
      </font>
      <fill>
        <patternFill patternType="solid">
          <bgColor theme="0" tint="-4.9989318521683403E-2"/>
        </patternFill>
      </fill>
      <border>
        <left style="thin">
          <color auto="1"/>
        </left>
        <right style="thin">
          <color auto="1"/>
        </right>
        <top style="thin">
          <color auto="1"/>
        </top>
        <bottom style="thin">
          <color auto="1"/>
        </bottom>
        <vertical/>
        <horizontal/>
      </border>
    </dxf>
    <dxf>
      <font>
        <color rgb="FFFF0000"/>
      </font>
      <fill>
        <patternFill patternType="solid">
          <bgColor theme="0" tint="-4.9989318521683403E-2"/>
        </patternFill>
      </fill>
      <border>
        <left style="thin">
          <color auto="1"/>
        </left>
        <right style="thin">
          <color auto="1"/>
        </right>
        <top style="thin">
          <color auto="1"/>
        </top>
        <bottom style="thin">
          <color auto="1"/>
        </bottom>
        <vertical/>
        <horizontal/>
      </border>
    </dxf>
    <dxf>
      <font>
        <color rgb="FFC00000"/>
      </font>
      <fill>
        <patternFill>
          <bgColor rgb="FFFFCDCD"/>
        </patternFill>
      </fill>
    </dxf>
    <dxf>
      <fill>
        <patternFill>
          <bgColor rgb="FFFFF0D2"/>
        </patternFill>
      </fill>
    </dxf>
    <dxf>
      <fill>
        <patternFill>
          <bgColor theme="1" tint="0.499984740745262"/>
        </patternFill>
      </fill>
    </dxf>
    <dxf>
      <font>
        <color rgb="FF9C0006"/>
      </font>
      <fill>
        <patternFill>
          <bgColor rgb="FFFFC7CE"/>
        </patternFill>
      </fill>
    </dxf>
    <dxf>
      <font>
        <color rgb="FF9C0006"/>
      </font>
      <fill>
        <patternFill>
          <bgColor rgb="FFFFC7CE"/>
        </patternFill>
      </fill>
    </dxf>
    <dxf>
      <font>
        <color rgb="FF9C5700"/>
      </font>
      <fill>
        <patternFill>
          <bgColor rgb="FFFFEB9C"/>
        </patternFill>
      </fill>
    </dxf>
    <dxf>
      <font>
        <color rgb="FF9C5700"/>
      </font>
      <fill>
        <patternFill>
          <bgColor rgb="FFFFEB9C"/>
        </patternFill>
      </fill>
    </dxf>
    <dxf>
      <font>
        <color rgb="FFC00000"/>
      </font>
      <fill>
        <patternFill>
          <bgColor rgb="FFFFCDCD"/>
        </patternFill>
      </fill>
    </dxf>
    <dxf>
      <font>
        <color rgb="FFC00000"/>
      </font>
      <fill>
        <patternFill>
          <bgColor rgb="FFFFCDCD"/>
        </patternFill>
      </fill>
    </dxf>
    <dxf>
      <font>
        <color rgb="FFC00000"/>
      </font>
      <fill>
        <patternFill>
          <bgColor rgb="FFFFCDCD"/>
        </patternFill>
      </fill>
    </dxf>
    <dxf>
      <font>
        <color rgb="FFC00000"/>
      </font>
      <fill>
        <patternFill>
          <bgColor rgb="FFFFCDCD"/>
        </patternFill>
      </fill>
    </dxf>
    <dxf>
      <font>
        <color rgb="FFC00000"/>
      </font>
      <fill>
        <patternFill>
          <bgColor rgb="FFFFCDCD"/>
        </patternFill>
      </fill>
    </dxf>
    <dxf>
      <fill>
        <patternFill>
          <bgColor rgb="FFFFF0D2"/>
        </patternFill>
      </fill>
    </dxf>
    <dxf>
      <fill>
        <patternFill>
          <bgColor theme="1" tint="0.499984740745262"/>
        </patternFill>
      </fill>
    </dxf>
    <dxf>
      <font>
        <color rgb="FF9C0006"/>
      </font>
      <fill>
        <patternFill>
          <bgColor rgb="FFFFC7CE"/>
        </patternFill>
      </fill>
    </dxf>
    <dxf>
      <font>
        <color rgb="FF9C0006"/>
      </font>
      <fill>
        <patternFill>
          <bgColor rgb="FFFFC7CE"/>
        </patternFill>
      </fill>
    </dxf>
    <dxf>
      <font>
        <color rgb="FF9C5700"/>
      </font>
      <fill>
        <patternFill>
          <bgColor rgb="FFFFEB9C"/>
        </patternFill>
      </fill>
    </dxf>
    <dxf>
      <font>
        <color rgb="FF9C5700"/>
      </font>
      <fill>
        <patternFill>
          <bgColor rgb="FFFFEB9C"/>
        </patternFill>
      </fill>
    </dxf>
    <dxf>
      <font>
        <color rgb="FFFF0000"/>
      </font>
      <fill>
        <patternFill patternType="solid">
          <bgColor theme="0" tint="-4.9989318521683403E-2"/>
        </patternFill>
      </fill>
      <border>
        <left style="thin">
          <color auto="1"/>
        </left>
        <right style="thin">
          <color auto="1"/>
        </right>
        <top style="thin">
          <color auto="1"/>
        </top>
        <bottom style="thin">
          <color auto="1"/>
        </bottom>
        <vertical/>
        <horizontal/>
      </border>
    </dxf>
    <dxf>
      <font>
        <color rgb="FFFF0000"/>
      </font>
      <fill>
        <patternFill patternType="solid">
          <bgColor theme="0" tint="-4.9989318521683403E-2"/>
        </patternFill>
      </fill>
      <border>
        <left style="thin">
          <color auto="1"/>
        </left>
        <right style="thin">
          <color auto="1"/>
        </right>
        <top style="thin">
          <color auto="1"/>
        </top>
        <bottom style="thin">
          <color auto="1"/>
        </bottom>
        <vertical/>
        <horizontal/>
      </border>
    </dxf>
    <dxf>
      <font>
        <color rgb="FFFF0000"/>
      </font>
      <fill>
        <patternFill patternType="solid">
          <bgColor theme="0" tint="-4.9989318521683403E-2"/>
        </patternFill>
      </fill>
      <border>
        <left style="thin">
          <color auto="1"/>
        </left>
        <right style="thin">
          <color auto="1"/>
        </right>
        <top style="thin">
          <color auto="1"/>
        </top>
        <bottom style="thin">
          <color auto="1"/>
        </bottom>
        <vertical/>
        <horizontal/>
      </border>
    </dxf>
    <dxf>
      <font>
        <color rgb="FFC00000"/>
      </font>
      <fill>
        <patternFill>
          <bgColor rgb="FFFFCDCD"/>
        </patternFill>
      </fill>
    </dxf>
    <dxf>
      <font>
        <color rgb="FFC00000"/>
      </font>
      <fill>
        <patternFill>
          <bgColor rgb="FFFFCCCC"/>
        </patternFill>
      </fill>
      <border>
        <left style="thin">
          <color auto="1"/>
        </left>
        <right style="thin">
          <color auto="1"/>
        </right>
        <top style="thin">
          <color auto="1"/>
        </top>
        <bottom style="thin">
          <color auto="1"/>
        </bottom>
        <vertical/>
        <horizontal/>
      </border>
    </dxf>
    <dxf>
      <fill>
        <patternFill>
          <bgColor rgb="FFFFF0D2"/>
        </patternFill>
      </fill>
    </dxf>
    <dxf>
      <fill>
        <patternFill>
          <bgColor theme="1" tint="0.499984740745262"/>
        </patternFill>
      </fill>
    </dxf>
    <dxf>
      <fill>
        <patternFill>
          <bgColor rgb="FFFFF0D2"/>
        </patternFill>
      </fill>
    </dxf>
    <dxf>
      <fill>
        <patternFill>
          <bgColor theme="1" tint="0.499984740745262"/>
        </patternFill>
      </fill>
    </dxf>
    <dxf>
      <font>
        <color rgb="FFC00000"/>
      </font>
      <fill>
        <patternFill>
          <bgColor rgb="FFFFCDCD"/>
        </patternFill>
      </fill>
      <border>
        <left style="thin">
          <color auto="1"/>
        </left>
        <right style="thin">
          <color auto="1"/>
        </right>
        <top style="thin">
          <color auto="1"/>
        </top>
        <bottom style="thin">
          <color auto="1"/>
        </bottom>
        <vertical/>
        <horizontal/>
      </border>
    </dxf>
    <dxf>
      <font>
        <color rgb="FFC00000"/>
      </font>
      <fill>
        <patternFill patternType="solid">
          <bgColor rgb="FFFFCDCD"/>
        </patternFill>
      </fill>
      <border>
        <left style="thin">
          <color auto="1"/>
        </left>
        <right style="thin">
          <color auto="1"/>
        </right>
        <top style="thin">
          <color auto="1"/>
        </top>
        <bottom style="thin">
          <color auto="1"/>
        </bottom>
        <vertical/>
        <horizontal/>
      </border>
    </dxf>
    <dxf>
      <font>
        <color rgb="FF9C0006"/>
      </font>
      <fill>
        <patternFill>
          <bgColor rgb="FFFFC7CE"/>
        </patternFill>
      </fill>
    </dxf>
    <dxf>
      <fill>
        <patternFill>
          <bgColor rgb="FFFFF0D2"/>
        </patternFill>
      </fill>
    </dxf>
    <dxf>
      <fill>
        <patternFill>
          <bgColor theme="1" tint="0.499984740745262"/>
        </patternFill>
      </fill>
    </dxf>
    <dxf>
      <border>
        <left style="thin">
          <color auto="1"/>
        </left>
        <right style="thin">
          <color auto="1"/>
        </right>
        <bottom style="thin">
          <color auto="1"/>
        </bottom>
        <vertical/>
        <horizontal/>
      </border>
    </dxf>
    <dxf>
      <font>
        <color theme="5" tint="-0.24994659260841701"/>
      </font>
      <fill>
        <patternFill>
          <bgColor rgb="FFFFE69B"/>
        </patternFill>
      </fill>
    </dxf>
    <dxf>
      <font>
        <color rgb="FFC00000"/>
      </font>
      <fill>
        <patternFill>
          <bgColor theme="5" tint="0.79998168889431442"/>
        </patternFill>
      </fill>
    </dxf>
    <dxf>
      <font>
        <color rgb="FFFF0000"/>
      </font>
      <border>
        <left style="thin">
          <color auto="1"/>
        </left>
        <right style="thin">
          <color auto="1"/>
        </right>
        <top style="thin">
          <color auto="1"/>
        </top>
        <bottom style="thin">
          <color auto="1"/>
        </bottom>
        <vertical/>
        <horizontal/>
      </border>
    </dxf>
    <dxf>
      <font>
        <color rgb="FF9C0006"/>
      </font>
      <fill>
        <patternFill>
          <bgColor rgb="FFFFC7CE"/>
        </patternFill>
      </fill>
    </dxf>
    <dxf>
      <fill>
        <patternFill>
          <bgColor rgb="FFFFF0D2"/>
        </patternFill>
      </fill>
    </dxf>
    <dxf>
      <fill>
        <patternFill>
          <bgColor theme="1" tint="0.499984740745262"/>
        </patternFill>
      </fill>
    </dxf>
    <dxf>
      <font>
        <color theme="9" tint="-0.499984740745262"/>
      </font>
      <fill>
        <patternFill>
          <bgColor theme="9" tint="0.79998168889431442"/>
        </patternFill>
      </fill>
    </dxf>
    <dxf>
      <font>
        <color rgb="FFC00000"/>
      </font>
      <fill>
        <patternFill>
          <bgColor theme="5" tint="0.79998168889431442"/>
        </patternFill>
      </fill>
    </dxf>
    <dxf>
      <font>
        <color theme="5" tint="-0.24994659260841701"/>
      </font>
      <fill>
        <patternFill>
          <bgColor rgb="FFFFE69B"/>
        </patternFill>
      </fill>
    </dxf>
    <dxf>
      <font>
        <color rgb="FFC00000"/>
      </font>
      <fill>
        <patternFill>
          <bgColor theme="5" tint="0.79998168889431442"/>
        </patternFill>
      </fill>
    </dxf>
    <dxf>
      <font>
        <color rgb="FFC00000"/>
      </font>
      <fill>
        <patternFill>
          <bgColor rgb="FFFFCDCD"/>
        </patternFill>
      </fill>
    </dxf>
    <dxf>
      <font>
        <color rgb="FFC00000"/>
      </font>
      <fill>
        <patternFill>
          <bgColor theme="5" tint="0.79998168889431442"/>
        </patternFill>
      </fill>
    </dxf>
    <dxf>
      <font>
        <color rgb="FFC00000"/>
      </font>
      <fill>
        <patternFill>
          <bgColor rgb="FFFFCDCD"/>
        </patternFill>
      </fill>
    </dxf>
    <dxf>
      <font>
        <color rgb="FFC00000"/>
      </font>
      <fill>
        <patternFill>
          <bgColor theme="5" tint="0.79998168889431442"/>
        </patternFill>
      </fill>
    </dxf>
    <dxf>
      <font>
        <color rgb="FFC00000"/>
      </font>
      <fill>
        <patternFill>
          <bgColor rgb="FFFFCDCD"/>
        </patternFill>
      </fill>
    </dxf>
    <dxf>
      <font>
        <color rgb="FFC00000"/>
      </font>
      <fill>
        <patternFill>
          <bgColor theme="5" tint="0.79998168889431442"/>
        </patternFill>
      </fill>
    </dxf>
    <dxf>
      <font>
        <color rgb="FFC00000"/>
      </font>
      <fill>
        <patternFill>
          <bgColor rgb="FFFFCDCD"/>
        </patternFill>
      </fill>
    </dxf>
    <dxf>
      <font>
        <color rgb="FFC00000"/>
      </font>
      <fill>
        <patternFill>
          <bgColor theme="5" tint="0.79998168889431442"/>
        </patternFill>
      </fill>
    </dxf>
    <dxf>
      <font>
        <color rgb="FFC00000"/>
      </font>
      <fill>
        <patternFill>
          <bgColor rgb="FFFFCDCD"/>
        </patternFill>
      </fill>
    </dxf>
    <dxf>
      <font>
        <color rgb="FFC00000"/>
      </font>
      <fill>
        <patternFill>
          <bgColor theme="5" tint="0.79998168889431442"/>
        </patternFill>
      </fill>
    </dxf>
    <dxf>
      <font>
        <color rgb="FFC00000"/>
      </font>
      <fill>
        <patternFill>
          <bgColor theme="5" tint="0.79998168889431442"/>
        </patternFill>
      </fill>
    </dxf>
    <dxf>
      <font>
        <color rgb="FFC00000"/>
      </font>
      <fill>
        <patternFill>
          <bgColor rgb="FFFFCDCD"/>
        </patternFill>
      </fill>
    </dxf>
    <dxf>
      <font>
        <color rgb="FFC00000"/>
      </font>
      <fill>
        <patternFill>
          <bgColor rgb="FFFFCCCC"/>
        </patternFill>
      </fill>
      <border>
        <left style="thin">
          <color auto="1"/>
        </left>
        <right style="thin">
          <color auto="1"/>
        </right>
        <top style="thin">
          <color auto="1"/>
        </top>
        <bottom style="thin">
          <color auto="1"/>
        </bottom>
        <vertical/>
        <horizontal/>
      </border>
    </dxf>
    <dxf>
      <font>
        <color rgb="FFC00000"/>
      </font>
      <fill>
        <patternFill>
          <bgColor rgb="FFFFCCCC"/>
        </patternFill>
      </fill>
      <border>
        <left style="thin">
          <color auto="1"/>
        </left>
        <right style="thin">
          <color auto="1"/>
        </right>
        <top style="thin">
          <color auto="1"/>
        </top>
        <bottom style="thin">
          <color auto="1"/>
        </bottom>
        <vertical/>
        <horizontal/>
      </border>
    </dxf>
    <dxf>
      <font>
        <color rgb="FFC00000"/>
      </font>
      <fill>
        <patternFill>
          <bgColor rgb="FFFFCCCC"/>
        </patternFill>
      </fill>
      <border>
        <left style="thin">
          <color auto="1"/>
        </left>
        <right style="thin">
          <color auto="1"/>
        </right>
        <top style="thin">
          <color auto="1"/>
        </top>
        <bottom style="thin">
          <color auto="1"/>
        </bottom>
        <vertical/>
        <horizontal/>
      </border>
    </dxf>
    <dxf>
      <font>
        <color rgb="FFC00000"/>
      </font>
      <fill>
        <patternFill>
          <bgColor rgb="FFFFCCCC"/>
        </patternFill>
      </fill>
      <border>
        <left style="thin">
          <color auto="1"/>
        </left>
        <right style="thin">
          <color auto="1"/>
        </right>
        <top style="thin">
          <color auto="1"/>
        </top>
        <bottom style="thin">
          <color auto="1"/>
        </bottom>
        <vertical/>
        <horizontal/>
      </border>
    </dxf>
    <dxf>
      <font>
        <color rgb="FFC00000"/>
      </font>
      <fill>
        <patternFill>
          <bgColor rgb="FFFFCCCC"/>
        </patternFill>
      </fill>
      <border>
        <left style="thin">
          <color auto="1"/>
        </left>
        <right style="thin">
          <color auto="1"/>
        </right>
        <top style="thin">
          <color auto="1"/>
        </top>
        <bottom style="thin">
          <color auto="1"/>
        </bottom>
        <vertical/>
        <horizontal/>
      </border>
    </dxf>
    <dxf>
      <font>
        <color rgb="FFC00000"/>
      </font>
      <fill>
        <patternFill>
          <bgColor rgb="FFFFCCCC"/>
        </patternFill>
      </fill>
      <border>
        <left style="thin">
          <color auto="1"/>
        </left>
        <right style="thin">
          <color auto="1"/>
        </right>
        <top style="thin">
          <color auto="1"/>
        </top>
        <bottom style="thin">
          <color auto="1"/>
        </bottom>
        <vertical/>
        <horizontal/>
      </border>
    </dxf>
    <dxf>
      <font>
        <color rgb="FFC00000"/>
      </font>
      <fill>
        <patternFill>
          <bgColor rgb="FFFFCDCD"/>
        </patternFill>
      </fill>
    </dxf>
    <dxf>
      <font>
        <color rgb="FFC00000"/>
      </font>
      <fill>
        <patternFill>
          <bgColor rgb="FFFFCDCD"/>
        </patternFill>
      </fill>
    </dxf>
    <dxf>
      <font>
        <color rgb="FFC00000"/>
      </font>
      <fill>
        <patternFill>
          <bgColor rgb="FFFFCDCD"/>
        </patternFill>
      </fill>
    </dxf>
    <dxf>
      <font>
        <color rgb="FFC00000"/>
      </font>
      <fill>
        <patternFill>
          <bgColor rgb="FFFFCDCD"/>
        </patternFill>
      </fill>
    </dxf>
    <dxf>
      <font>
        <color rgb="FFC00000"/>
      </font>
      <fill>
        <patternFill>
          <bgColor rgb="FFFFCDCD"/>
        </patternFill>
      </fill>
    </dxf>
    <dxf>
      <font>
        <color rgb="FFC00000"/>
      </font>
      <fill>
        <patternFill>
          <bgColor rgb="FFFFCDCD"/>
        </patternFill>
      </fill>
      <border>
        <left style="thin">
          <color auto="1"/>
        </left>
        <right style="thin">
          <color auto="1"/>
        </right>
        <top style="thin">
          <color auto="1"/>
        </top>
        <bottom style="thin">
          <color auto="1"/>
        </bottom>
        <vertical/>
        <horizontal/>
      </border>
    </dxf>
    <dxf>
      <font>
        <color rgb="FFC00000"/>
      </font>
      <fill>
        <patternFill>
          <bgColor rgb="FFFFCDCD"/>
        </patternFill>
      </fill>
    </dxf>
    <dxf>
      <fill>
        <patternFill>
          <bgColor rgb="FFFFF0D2"/>
        </patternFill>
      </fill>
    </dxf>
    <dxf>
      <fill>
        <patternFill>
          <bgColor theme="1" tint="0.499984740745262"/>
        </patternFill>
      </fill>
    </dxf>
    <dxf>
      <font>
        <color rgb="FFC00000"/>
      </font>
      <fill>
        <patternFill>
          <bgColor rgb="FFFFCCFF"/>
        </patternFill>
      </fill>
    </dxf>
    <dxf>
      <numFmt numFmtId="166" formatCode="0;\-0;&quot;-&quot;"/>
      <fill>
        <patternFill>
          <bgColor theme="1" tint="0.499984740745262"/>
        </patternFill>
      </fill>
    </dxf>
    <dxf>
      <fill>
        <patternFill>
          <bgColor rgb="FFFFF0D2"/>
        </patternFill>
      </fill>
    </dxf>
    <dxf>
      <fill>
        <patternFill>
          <bgColor theme="1" tint="0.499984740745262"/>
        </patternFill>
      </fill>
    </dxf>
    <dxf>
      <font>
        <color rgb="FFC00000"/>
      </font>
      <fill>
        <patternFill>
          <bgColor rgb="FFFFCDCD"/>
        </patternFill>
      </fill>
    </dxf>
    <dxf>
      <border>
        <right style="thin">
          <color auto="1"/>
        </right>
        <bottom style="thin">
          <color auto="1"/>
        </bottom>
        <vertical/>
        <horizontal/>
      </border>
    </dxf>
    <dxf>
      <border>
        <right style="thin">
          <color auto="1"/>
        </right>
        <bottom style="thin">
          <color auto="1"/>
        </bottom>
        <vertical/>
        <horizontal/>
      </border>
    </dxf>
    <dxf>
      <border>
        <left/>
        <bottom style="thin">
          <color auto="1"/>
        </bottom>
        <vertical/>
        <horizontal/>
      </border>
    </dxf>
    <dxf>
      <border>
        <left style="thin">
          <color auto="1"/>
        </left>
        <bottom style="thin">
          <color auto="1"/>
        </bottom>
        <vertical/>
        <horizontal/>
      </border>
    </dxf>
    <dxf>
      <border>
        <left style="thin">
          <color auto="1"/>
        </left>
        <bottom style="thin">
          <color auto="1"/>
        </bottom>
        <vertical/>
        <horizontal/>
      </border>
    </dxf>
    <dxf>
      <border>
        <left style="thin">
          <color auto="1"/>
        </left>
        <bottom style="thin">
          <color auto="1"/>
        </bottom>
        <vertical/>
        <horizontal/>
      </border>
    </dxf>
    <dxf>
      <font>
        <color rgb="FFC00000"/>
      </font>
      <fill>
        <patternFill>
          <bgColor rgb="FFFFCDCD"/>
        </patternFill>
      </fill>
    </dxf>
    <dxf>
      <border>
        <bottom style="thin">
          <color auto="1"/>
        </bottom>
        <vertical/>
        <horizontal/>
      </border>
    </dxf>
    <dxf>
      <border>
        <left style="thin">
          <color auto="1"/>
        </left>
        <bottom/>
        <vertical/>
        <horizontal/>
      </border>
    </dxf>
    <dxf>
      <border>
        <left style="thin">
          <color auto="1"/>
        </left>
        <bottom style="thin">
          <color auto="1"/>
        </bottom>
        <vertical/>
        <horizontal/>
      </border>
    </dxf>
    <dxf>
      <font>
        <color rgb="FFC00000"/>
      </font>
      <fill>
        <patternFill>
          <bgColor theme="5" tint="0.79998168889431442"/>
        </patternFill>
      </fill>
    </dxf>
    <dxf>
      <font>
        <b val="0"/>
        <i val="0"/>
        <strike val="0"/>
        <condense val="0"/>
        <extend val="0"/>
        <outline val="0"/>
        <shadow val="0"/>
        <u val="none"/>
        <vertAlign val="baseline"/>
        <sz val="10"/>
        <color theme="1"/>
        <name val="Calibri"/>
        <family val="2"/>
        <charset val="186"/>
        <scheme val="minor"/>
      </font>
      <alignment horizontal="general" vertical="center" textRotation="0" wrapText="1" indent="0" justifyLastLine="0" shrinkToFit="0" readingOrder="0"/>
    </dxf>
    <dxf>
      <font>
        <b val="0"/>
        <i val="0"/>
        <strike val="0"/>
        <condense val="0"/>
        <extend val="0"/>
        <outline val="0"/>
        <shadow val="0"/>
        <u val="none"/>
        <vertAlign val="baseline"/>
        <sz val="10"/>
        <color theme="1"/>
        <name val="Calibri"/>
        <family val="2"/>
        <charset val="186"/>
        <scheme val="minor"/>
      </font>
      <alignment horizontal="center" vertical="center" textRotation="0" wrapText="0" indent="0" justifyLastLine="0" shrinkToFit="0" readingOrder="0"/>
    </dxf>
    <dxf>
      <font>
        <b val="0"/>
        <i val="0"/>
        <strike val="0"/>
        <condense val="0"/>
        <extend val="0"/>
        <outline val="0"/>
        <shadow val="0"/>
        <u val="none"/>
        <vertAlign val="baseline"/>
        <sz val="10"/>
        <color theme="1"/>
        <name val="Calibri"/>
        <family val="2"/>
        <charset val="186"/>
        <scheme val="minor"/>
      </font>
      <alignment horizontal="center" vertical="center" textRotation="0" wrapText="0" indent="0" justifyLastLine="0" shrinkToFit="0" readingOrder="0"/>
    </dxf>
    <dxf>
      <font>
        <b val="0"/>
        <i val="0"/>
        <strike val="0"/>
        <condense val="0"/>
        <extend val="0"/>
        <outline val="0"/>
        <shadow val="0"/>
        <u val="none"/>
        <vertAlign val="baseline"/>
        <sz val="10"/>
        <color theme="1"/>
        <name val="Calibri"/>
        <family val="2"/>
        <charset val="186"/>
        <scheme val="minor"/>
      </font>
      <alignment horizontal="general" vertical="center" textRotation="0" wrapText="0" indent="0" justifyLastLine="0" shrinkToFit="0" readingOrder="0"/>
    </dxf>
    <dxf>
      <font>
        <b val="0"/>
        <i val="0"/>
        <strike val="0"/>
        <condense val="0"/>
        <extend val="0"/>
        <outline val="0"/>
        <shadow val="0"/>
        <u val="none"/>
        <vertAlign val="baseline"/>
        <sz val="10"/>
        <color theme="1"/>
        <name val="Calibri"/>
        <family val="2"/>
        <charset val="186"/>
        <scheme val="minor"/>
      </font>
      <alignment horizontal="center" vertical="center" textRotation="0" wrapText="1" indent="0" justifyLastLine="0" shrinkToFit="0" readingOrder="0"/>
    </dxf>
    <dxf>
      <border diagonalUp="0" diagonalDown="0">
        <left style="thin">
          <color indexed="64"/>
        </left>
        <right/>
        <top style="thin">
          <color indexed="64"/>
        </top>
        <bottom style="thin">
          <color indexed="64"/>
        </bottom>
        <vertical style="thin">
          <color indexed="64"/>
        </vertical>
        <horizontal style="thin">
          <color indexed="64"/>
        </horizontal>
      </border>
      <protection locked="0" hidden="0"/>
    </dxf>
    <dxf>
      <border diagonalUp="0" diagonalDown="0">
        <left/>
        <right style="thin">
          <color indexed="64"/>
        </right>
        <top style="thin">
          <color indexed="64"/>
        </top>
        <bottom style="thin">
          <color indexed="64"/>
        </bottom>
        <vertical style="thin">
          <color indexed="64"/>
        </vertical>
        <horizontal style="thin">
          <color indexed="64"/>
        </horizontal>
      </border>
      <protection locked="1" hidden="0"/>
    </dxf>
    <dxf>
      <border>
        <top style="thin">
          <color indexed="64"/>
        </top>
      </border>
    </dxf>
    <dxf>
      <border diagonalUp="0" diagonalDown="0">
        <left style="thin">
          <color indexed="64"/>
        </left>
        <right style="thin">
          <color indexed="64"/>
        </right>
        <top style="thin">
          <color indexed="64"/>
        </top>
        <bottom style="thin">
          <color indexed="64"/>
        </bottom>
      </border>
    </dxf>
    <dxf>
      <protection locked="0" hidden="0"/>
    </dxf>
    <dxf>
      <border>
        <bottom style="thin">
          <color indexed="64"/>
        </bottom>
      </border>
    </dxf>
    <dxf>
      <font>
        <b/>
        <i val="0"/>
        <strike val="0"/>
        <condense val="0"/>
        <extend val="0"/>
        <outline val="0"/>
        <shadow val="0"/>
        <u val="none"/>
        <vertAlign val="baseline"/>
        <sz val="11"/>
        <color theme="1"/>
        <name val="Calibri"/>
        <family val="2"/>
        <charset val="186"/>
        <scheme val="minor"/>
      </font>
      <border diagonalUp="0" diagonalDown="0">
        <left style="thin">
          <color indexed="64"/>
        </left>
        <right style="thin">
          <color indexed="64"/>
        </right>
        <top/>
        <bottom/>
        <vertical style="thin">
          <color indexed="64"/>
        </vertical>
        <horizontal style="thin">
          <color indexed="64"/>
        </horizontal>
      </border>
      <protection locked="0" hidden="0"/>
    </dxf>
    <dxf>
      <alignment horizontal="general" vertical="center" textRotation="0" wrapText="0" indent="0" justifyLastLine="0" shrinkToFit="0" readingOrder="0"/>
    </dxf>
    <dxf>
      <alignment horizontal="general" vertical="center" textRotation="0" wrapText="1" indent="0" justifyLastLine="0" shrinkToFit="0" readingOrder="0"/>
    </dxf>
    <dxf>
      <alignment horizontal="center" vertical="center" textRotation="0" wrapText="0" indent="0" justifyLastLine="0" shrinkToFit="0" readingOrder="0"/>
    </dxf>
    <dxf>
      <alignment horizontal="general" vertical="center" textRotation="0" wrapText="1" indent="0" justifyLastLine="0" shrinkToFit="0" readingOrder="0"/>
    </dxf>
    <dxf>
      <alignment horizontal="center" vertical="center" textRotation="0" wrapText="0" indent="0" justifyLastLine="0" shrinkToFit="0" readingOrder="0"/>
    </dxf>
    <dxf>
      <alignment horizontal="center" vertical="center" textRotation="0" wrapText="1" indent="0" justifyLastLine="0" shrinkToFit="0" readingOrder="0"/>
    </dxf>
    <dxf>
      <alignment vertical="top" textRotation="0" indent="0" justifyLastLine="0" shrinkToFit="0" readingOrder="0"/>
    </dxf>
    <dxf>
      <alignment vertical="top" textRotation="0" indent="0" justifyLastLine="0" shrinkToFit="0" readingOrder="0"/>
    </dxf>
    <dxf>
      <alignment vertical="top" textRotation="0" indent="0" justifyLastLine="0" shrinkToFit="0" readingOrder="0"/>
    </dxf>
    <dxf>
      <numFmt numFmtId="0" formatCode="General"/>
    </dxf>
    <dxf>
      <numFmt numFmtId="0" formatCode="General"/>
      <alignment vertical="top" textRotation="0" indent="0" justifyLastLine="0" shrinkToFit="0" readingOrder="0"/>
    </dxf>
  </dxfs>
  <tableStyles count="0" defaultTableStyle="TableStyleMedium2" defaultPivotStyle="PivotStyleLight16"/>
  <colors>
    <mruColors>
      <color rgb="FFFFE69B"/>
      <color rgb="FFFFCDCD"/>
      <color rgb="FFFFF0D2"/>
      <color rgb="FFFFDCD2"/>
      <color rgb="FFFADCD2"/>
      <color rgb="FFFADCDC"/>
      <color rgb="FFFFC8E6"/>
      <color rgb="FFFFCC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26" Type="http://schemas.openxmlformats.org/officeDocument/2006/relationships/customXml" Target="../customXml/item4.xml"/><Relationship Id="rId3" Type="http://schemas.openxmlformats.org/officeDocument/2006/relationships/worksheet" Target="worksheets/sheet3.xml"/><Relationship Id="rId21" Type="http://schemas.openxmlformats.org/officeDocument/2006/relationships/sheetMetadata" Target="metadata.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customXml" Target="../customXml/item3.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ustomXml" Target="../customXml/item2.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customXml" Target="../customXml/item1.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ctrlProps/ctrlProp1.xml><?xml version="1.0" encoding="utf-8"?>
<formControlPr xmlns="http://schemas.microsoft.com/office/spreadsheetml/2009/9/main" objectType="Button" lockText="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4</xdr:col>
          <xdr:colOff>38100</xdr:colOff>
          <xdr:row>6</xdr:row>
          <xdr:rowOff>137160</xdr:rowOff>
        </xdr:from>
        <xdr:to>
          <xdr:col>8</xdr:col>
          <xdr:colOff>68580</xdr:colOff>
          <xdr:row>8</xdr:row>
          <xdr:rowOff>76200</xdr:rowOff>
        </xdr:to>
        <xdr:sp macro="" textlink="">
          <xdr:nvSpPr>
            <xdr:cNvPr id="1026" name="Button 2" hidden="1">
              <a:extLst>
                <a:ext uri="{63B3BB69-23CF-44E3-9099-C40C66FF867C}">
                  <a14:compatExt spid="_x0000_s1026"/>
                </a:ext>
                <a:ext uri="{FF2B5EF4-FFF2-40B4-BE49-F238E27FC236}">
                  <a16:creationId xmlns:a16="http://schemas.microsoft.com/office/drawing/2014/main" id="{00000000-0008-0000-1000-000002040000}"/>
                </a:ext>
              </a:extLst>
            </xdr:cNvPr>
            <xdr:cNvSpPr/>
          </xdr:nvSpPr>
          <xdr:spPr bwMode="auto">
            <a:xfrm>
              <a:off x="0" y="0"/>
              <a:ext cx="0" cy="0"/>
            </a:xfrm>
            <a:prstGeom prst="rect">
              <a:avLst/>
            </a:prstGeom>
            <a:noFill/>
            <a:ln w="9525">
              <a:miter lim="800000"/>
              <a:headEnd/>
              <a:tailEnd/>
            </a:ln>
          </xdr:spPr>
          <xdr:txBody>
            <a:bodyPr vertOverflow="clip" wrap="square" lIns="36576" tIns="32004" rIns="36576" bIns="32004" anchor="ctr" upright="1"/>
            <a:lstStyle/>
            <a:p>
              <a:pPr algn="ctr" rtl="0">
                <a:defRPr sz="1000"/>
              </a:pPr>
              <a:r>
                <a:rPr lang="lt-LT" sz="1100" b="0" i="0" u="none" strike="noStrike" baseline="0">
                  <a:solidFill>
                    <a:srgbClr val="000000"/>
                  </a:solidFill>
                  <a:latin typeface="Calibri"/>
                  <a:ea typeface="Calibri"/>
                  <a:cs typeface="Calibri"/>
                </a:rPr>
                <a:t>Išsaugoti PDF</a:t>
              </a:r>
            </a:p>
            <a:p>
              <a:pPr algn="ctr" rtl="0">
                <a:defRPr sz="1000"/>
              </a:pPr>
              <a:endParaRPr lang="lt-LT" sz="1100" b="0" i="0" u="none" strike="noStrike" baseline="0">
                <a:solidFill>
                  <a:srgbClr val="000000"/>
                </a:solidFill>
                <a:latin typeface="Calibri"/>
                <a:ea typeface="Calibri"/>
                <a:cs typeface="Calibri"/>
              </a:endParaRPr>
            </a:p>
          </xdr:txBody>
        </xdr:sp>
        <xdr:clientData fPrintsWithSheet="0"/>
      </xdr:twoCellAnchor>
    </mc:Choice>
    <mc:Fallback/>
  </mc:AlternateContent>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31524F5D-2BBC-453C-84CA-5AA570F5C477}" name="ParamosIšmokėjimoBūdai" displayName="ParamosIšmokėjimoBūdai" ref="A90:C93" totalsRowShown="0">
  <autoFilter ref="A90:C93" xr:uid="{31524F5D-2BBC-453C-84CA-5AA570F5C477}"/>
  <tableColumns count="3">
    <tableColumn id="1" xr3:uid="{BA3F9CCE-4302-463C-85E7-929FE3626EA1}" name="Meniu_Būdas" dataDxfId="126">
      <calculatedColumnFormula>IF(ParamosIšmokėjimoBūdai[[#This Row],[Taikymas]]="Taip",ParamosIšmokėjimoBūdai[[#This Row],[Būdas]],"")</calculatedColumnFormula>
    </tableColumn>
    <tableColumn id="2" xr3:uid="{5D61BCC8-4F0B-4B8A-8757-BF46466044D9}" name="Taikymas" dataDxfId="125">
      <calculatedColumnFormula>_xlfn.XLOOKUP(ParamosIšmokėjimoBūdai[[#This Row],[Būdas]],Lentelė5[Naudojami paramos išmokėjimo būdai],Lentelė5[Pasirinkti])</calculatedColumnFormula>
    </tableColumn>
    <tableColumn id="3" xr3:uid="{31088C3C-0FC1-40F4-86DE-EE8471EEEDA9}" name="Būdas"/>
  </tableColumns>
  <tableStyleInfo name="TableStyleLight1"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D6AB7D56-F608-4C77-8279-E12FC78F5A77}" name="TaipNe" displayName="TaipNe" ref="A109:A111" totalsRowShown="0" headerRowDxfId="124" dataDxfId="123">
  <autoFilter ref="A109:A111" xr:uid="{D6AB7D56-F608-4C77-8279-E12FC78F5A77}"/>
  <tableColumns count="1">
    <tableColumn id="1" xr3:uid="{1F063533-7FC0-400E-8554-D5078809D1C6}" name="Taip ar Ne" dataDxfId="122"/>
  </tableColumns>
  <tableStyleInfo name="TableStyleLight1"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3419BE10-2419-46A4-9B36-14BC8C9A8246}" name="Pataisymai" displayName="Pataisymai" ref="A6:E9" totalsRowShown="0" headerRowDxfId="121">
  <autoFilter ref="A6:E9" xr:uid="{3419BE10-2419-46A4-9B36-14BC8C9A8246}"/>
  <tableColumns count="5">
    <tableColumn id="1" xr3:uid="{95B91EB0-DDCB-4877-8CF3-7AFF55912F72}" name="Eil. Nr." dataDxfId="120">
      <calculatedColumnFormula>ROW()-ROW(Pataisymai[[#Headers],[Eil. Nr.]])</calculatedColumnFormula>
    </tableColumn>
    <tableColumn id="2" xr3:uid="{7F417F6E-BA5E-47C1-8F40-2C11292ED0D6}" name="Problema" dataDxfId="119"/>
    <tableColumn id="3" xr3:uid="{7C889F0C-0BA2-4052-AD01-904E12F6A09E}" name="Registravimo data" dataDxfId="118"/>
    <tableColumn id="4" xr3:uid="{1366926C-6F1C-461E-B773-B6DBDBB93B5B}" name="Pataisymas" dataDxfId="117"/>
    <tableColumn id="5" xr3:uid="{11785D0D-88D2-4F92-8CCD-1F537BB674F6}" name="Pataisymo data" dataDxfId="116"/>
  </tableColumns>
  <tableStyleInfo name="TableStyleLight1"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C1C6A54A-2285-4FE0-AB18-4559392858BC}" name="Lentelė5" displayName="Lentelė5" ref="B29:C32" totalsRowShown="0" headerRowDxfId="115" dataDxfId="113" headerRowBorderDxfId="114" tableBorderDxfId="112" totalsRowBorderDxfId="111">
  <autoFilter ref="B29:C32" xr:uid="{C1C6A54A-2285-4FE0-AB18-4559392858BC}"/>
  <tableColumns count="2">
    <tableColumn id="1" xr3:uid="{AC0ACF2D-2BC4-4CCF-9EFD-09A9C8200DBC}" name="Naudojami paramos išmokėjimo būdai" dataDxfId="110"/>
    <tableColumn id="2" xr3:uid="{EDE0C5C9-0947-4FF2-A524-2F2F7BCE54F0}" name="Pasirinkti" dataDxfId="109"/>
  </tableColumns>
  <tableStyleInfo name="TableStyleLight1"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BFE8441A-32FE-4AB0-96EE-B02191919165}" name="Turinys" displayName="Turinys" ref="B4:D17" totalsRowShown="0" headerRowDxfId="108" dataDxfId="107">
  <autoFilter ref="B4:D17" xr:uid="{BFE8441A-32FE-4AB0-96EE-B02191919165}"/>
  <tableColumns count="3">
    <tableColumn id="1" xr3:uid="{6CDC0A03-8ACB-4551-89E8-A74053D7A252}" name="Eil. Nr." dataDxfId="106">
      <calculatedColumnFormula>ROW()-ROW(Turinys[[#Headers],[Eil. Nr.]])</calculatedColumnFormula>
    </tableColumn>
    <tableColumn id="3" xr3:uid="{45F98729-F03F-418F-BB5C-6F94DF2A2742}" name="Skyriaus Nr." dataDxfId="105"/>
    <tableColumn id="2" xr3:uid="{83CE4090-3600-4CD3-BC8F-3E902BEFE584}" name="Skyrius" dataDxfId="104"/>
  </tableColumns>
  <tableStyleInfo name="TableStyleLight17" showFirstColumn="0" showLastColumn="0" showRowStripes="1" showColumnStripes="0"/>
</table>
</file>

<file path=xl/theme/theme1.xml><?xml version="1.0" encoding="utf-8"?>
<a:theme xmlns:a="http://schemas.openxmlformats.org/drawingml/2006/main" name="„Office“ tema">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ebextensions/_rels/taskpanes.xml.rels><?xml version="1.0" encoding="UTF-8" standalone="yes"?>
<Relationships xmlns="http://schemas.openxmlformats.org/package/2006/relationships"><Relationship Id="rId1" Type="http://schemas.microsoft.com/office/2011/relationships/webextension" Target="webextension1.xml"/></Relationships>
</file>

<file path=xl/webextensions/taskpanes.xml><?xml version="1.0" encoding="utf-8"?>
<wetp:taskpanes xmlns:wetp="http://schemas.microsoft.com/office/webextensions/taskpanes/2010/11">
  <wetp:taskpane dockstate="right" visibility="0" width="613" row="13">
    <wetp:webextensionref xmlns:r="http://schemas.openxmlformats.org/officeDocument/2006/relationships" r:id="rId1"/>
  </wetp:taskpane>
</wetp:taskpanes>
</file>

<file path=xl/webextensions/webextension1.xml><?xml version="1.0" encoding="utf-8"?>
<we:webextension xmlns:we="http://schemas.microsoft.com/office/webextensions/webextension/2010/11" id="{6CBDD77F-17D8-486C-9E1C-41595C681C1E}">
  <we:reference id="wa200003696" version="1.3.0.0" store="en-US" storeType="OMEX"/>
  <we:alternateReferences>
    <we:reference id="WA200003696" version="1.3.0.0" store="" storeType="OMEX"/>
  </we:alternateReferences>
  <we:properties>
    <we:property name="projectV0_1-56c6e055-265e-4713-816e-a646dbb708de" value="{&quot;kind&quot;:&quot;AFEJSONBlobNode&quot;,&quot;id&quot;:&quot;{87A5373B-598C-436C-84E5-0F28384E1387}&quot;}"/>
  </we:properties>
  <we:bindings/>
  <we:snapshot xmlns:r="http://schemas.openxmlformats.org/officeDocument/2006/relationships"/>
  <we:extLst>
    <a:ext xmlns:a="http://schemas.openxmlformats.org/drawingml/2006/main" uri="{D87F86FE-615C-45B5-9D79-34F1136793EB}">
      <we:containsCustomFunctions/>
    </a:ext>
    <a:ext xmlns:a="http://schemas.openxmlformats.org/drawingml/2006/main" uri="{7C84B067-C214-45C3-A712-C9D94CD141B2}">
      <we:customFunctionIdList>
        <we:customFunctionIds>_xldudf_LABS_GENERATIVEAI</we:customFunctionIds>
      </we:customFunctionIdList>
    </a:ext>
  </we:extLst>
</we:webextension>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7.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6.bin"/><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3" Type="http://schemas.openxmlformats.org/officeDocument/2006/relationships/table" Target="../tables/table2.xml"/><Relationship Id="rId2" Type="http://schemas.openxmlformats.org/officeDocument/2006/relationships/table" Target="../tables/table1.xml"/><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2" Type="http://schemas.openxmlformats.org/officeDocument/2006/relationships/table" Target="../tables/table3.xml"/><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2" Type="http://schemas.openxmlformats.org/officeDocument/2006/relationships/table" Target="../tables/table4.xml"/><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2" Type="http://schemas.openxmlformats.org/officeDocument/2006/relationships/table" Target="../tables/table5.xml"/><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7D05D1C-0C65-4211-880B-461B154F242E}">
  <sheetPr codeName="Sheet1">
    <tabColor theme="1"/>
  </sheetPr>
  <dimension ref="A12:I70"/>
  <sheetViews>
    <sheetView topLeftCell="A52" zoomScale="130" zoomScaleNormal="130" workbookViewId="0">
      <selection activeCell="B23" sqref="B23"/>
    </sheetView>
  </sheetViews>
  <sheetFormatPr defaultRowHeight="14.4" x14ac:dyDescent="0.3"/>
  <cols>
    <col min="2" max="2" width="49.109375" customWidth="1"/>
    <col min="4" max="4" width="6.33203125" customWidth="1"/>
    <col min="5" max="5" width="46.6640625" customWidth="1"/>
    <col min="7" max="7" width="6.33203125" customWidth="1"/>
    <col min="8" max="8" width="45.5546875" customWidth="1"/>
    <col min="9" max="9" width="29.44140625" customWidth="1"/>
  </cols>
  <sheetData>
    <row r="12" spans="1:8" x14ac:dyDescent="0.3">
      <c r="A12" t="s">
        <v>92</v>
      </c>
      <c r="B12" t="s">
        <v>652</v>
      </c>
      <c r="D12" t="s">
        <v>653</v>
      </c>
      <c r="E12" t="s">
        <v>597</v>
      </c>
      <c r="H12" t="s">
        <v>91</v>
      </c>
    </row>
    <row r="13" spans="1:8" x14ac:dyDescent="0.3">
      <c r="A13" t="s">
        <v>653</v>
      </c>
      <c r="B13" t="s">
        <v>654</v>
      </c>
      <c r="D13" t="s">
        <v>0</v>
      </c>
      <c r="E13" t="s">
        <v>737</v>
      </c>
      <c r="G13" t="s">
        <v>92</v>
      </c>
      <c r="H13" t="s">
        <v>93</v>
      </c>
    </row>
    <row r="14" spans="1:8" x14ac:dyDescent="0.3">
      <c r="A14" t="s">
        <v>655</v>
      </c>
      <c r="B14" t="s">
        <v>656</v>
      </c>
      <c r="D14" t="s">
        <v>6</v>
      </c>
      <c r="E14" t="s">
        <v>598</v>
      </c>
      <c r="G14" t="s">
        <v>653</v>
      </c>
      <c r="H14" t="s">
        <v>94</v>
      </c>
    </row>
    <row r="15" spans="1:8" x14ac:dyDescent="0.3">
      <c r="A15" t="s">
        <v>657</v>
      </c>
      <c r="B15" t="s">
        <v>658</v>
      </c>
      <c r="D15" t="s">
        <v>181</v>
      </c>
      <c r="E15" t="s">
        <v>738</v>
      </c>
      <c r="G15" t="s">
        <v>0</v>
      </c>
      <c r="H15" t="s">
        <v>754</v>
      </c>
    </row>
    <row r="16" spans="1:8" x14ac:dyDescent="0.3">
      <c r="A16" t="s">
        <v>659</v>
      </c>
      <c r="B16" t="s">
        <v>660</v>
      </c>
      <c r="D16" t="s">
        <v>182</v>
      </c>
      <c r="E16" t="s">
        <v>599</v>
      </c>
      <c r="G16" t="s">
        <v>6</v>
      </c>
      <c r="H16" t="s">
        <v>755</v>
      </c>
    </row>
    <row r="17" spans="1:8" x14ac:dyDescent="0.3">
      <c r="A17" t="s">
        <v>661</v>
      </c>
      <c r="B17" t="s">
        <v>662</v>
      </c>
      <c r="D17" t="s">
        <v>7</v>
      </c>
      <c r="E17" t="s">
        <v>600</v>
      </c>
      <c r="G17" t="s">
        <v>7</v>
      </c>
      <c r="H17" t="s">
        <v>756</v>
      </c>
    </row>
    <row r="18" spans="1:8" x14ac:dyDescent="0.3">
      <c r="A18" t="s">
        <v>663</v>
      </c>
      <c r="B18" t="s">
        <v>664</v>
      </c>
      <c r="D18" t="s">
        <v>673</v>
      </c>
      <c r="E18" t="s">
        <v>601</v>
      </c>
      <c r="G18" t="s">
        <v>673</v>
      </c>
      <c r="H18" t="s">
        <v>95</v>
      </c>
    </row>
    <row r="19" spans="1:8" x14ac:dyDescent="0.3">
      <c r="A19" t="s">
        <v>665</v>
      </c>
      <c r="B19" t="s">
        <v>666</v>
      </c>
      <c r="D19" t="s">
        <v>0</v>
      </c>
      <c r="E19" t="s">
        <v>602</v>
      </c>
      <c r="G19" t="s">
        <v>0</v>
      </c>
      <c r="H19" t="s">
        <v>96</v>
      </c>
    </row>
    <row r="20" spans="1:8" x14ac:dyDescent="0.3">
      <c r="A20" t="s">
        <v>667</v>
      </c>
      <c r="B20" t="s">
        <v>668</v>
      </c>
      <c r="D20" t="s">
        <v>6</v>
      </c>
      <c r="E20" t="s">
        <v>603</v>
      </c>
      <c r="G20" t="s">
        <v>6</v>
      </c>
      <c r="H20" t="s">
        <v>38</v>
      </c>
    </row>
    <row r="21" spans="1:8" x14ac:dyDescent="0.3">
      <c r="A21" t="s">
        <v>669</v>
      </c>
      <c r="B21" t="s">
        <v>670</v>
      </c>
      <c r="D21" t="s">
        <v>7</v>
      </c>
      <c r="E21" t="s">
        <v>604</v>
      </c>
      <c r="G21" t="s">
        <v>7</v>
      </c>
      <c r="H21" t="s">
        <v>55</v>
      </c>
    </row>
    <row r="22" spans="1:8" x14ac:dyDescent="0.3">
      <c r="A22" t="s">
        <v>671</v>
      </c>
      <c r="B22" t="s">
        <v>672</v>
      </c>
      <c r="D22" t="s">
        <v>183</v>
      </c>
      <c r="E22" t="s">
        <v>605</v>
      </c>
      <c r="G22" t="s">
        <v>98</v>
      </c>
      <c r="H22" t="s">
        <v>39</v>
      </c>
    </row>
    <row r="23" spans="1:8" x14ac:dyDescent="0.3">
      <c r="A23" t="s">
        <v>673</v>
      </c>
      <c r="B23" t="s">
        <v>674</v>
      </c>
      <c r="D23" t="s">
        <v>268</v>
      </c>
      <c r="E23" t="s">
        <v>606</v>
      </c>
      <c r="G23" t="s">
        <v>8</v>
      </c>
      <c r="H23" t="s">
        <v>757</v>
      </c>
    </row>
    <row r="24" spans="1:8" x14ac:dyDescent="0.3">
      <c r="A24" t="s">
        <v>675</v>
      </c>
      <c r="B24" t="s">
        <v>676</v>
      </c>
      <c r="D24" t="s">
        <v>739</v>
      </c>
      <c r="E24" t="s">
        <v>607</v>
      </c>
      <c r="G24" t="s">
        <v>20</v>
      </c>
      <c r="H24" t="s">
        <v>611</v>
      </c>
    </row>
    <row r="25" spans="1:8" x14ac:dyDescent="0.3">
      <c r="A25" t="s">
        <v>677</v>
      </c>
      <c r="B25" t="s">
        <v>678</v>
      </c>
      <c r="D25" t="s">
        <v>740</v>
      </c>
      <c r="E25" t="s">
        <v>741</v>
      </c>
      <c r="G25" t="s">
        <v>33</v>
      </c>
      <c r="H25" t="s">
        <v>758</v>
      </c>
    </row>
    <row r="26" spans="1:8" x14ac:dyDescent="0.3">
      <c r="A26" t="s">
        <v>679</v>
      </c>
      <c r="B26" t="s">
        <v>680</v>
      </c>
      <c r="D26" t="s">
        <v>742</v>
      </c>
      <c r="E26" t="s">
        <v>743</v>
      </c>
      <c r="G26" t="s">
        <v>675</v>
      </c>
      <c r="H26" t="s">
        <v>97</v>
      </c>
    </row>
    <row r="27" spans="1:8" x14ac:dyDescent="0.3">
      <c r="A27" t="s">
        <v>681</v>
      </c>
      <c r="B27" t="s">
        <v>682</v>
      </c>
      <c r="D27" t="s">
        <v>744</v>
      </c>
      <c r="E27" t="s">
        <v>745</v>
      </c>
      <c r="G27" t="s">
        <v>0</v>
      </c>
      <c r="H27" s="266" t="s">
        <v>759</v>
      </c>
    </row>
    <row r="28" spans="1:8" x14ac:dyDescent="0.3">
      <c r="A28" t="s">
        <v>683</v>
      </c>
      <c r="B28" t="s">
        <v>684</v>
      </c>
      <c r="D28" t="s">
        <v>746</v>
      </c>
      <c r="E28" t="s">
        <v>747</v>
      </c>
      <c r="G28" t="s">
        <v>6</v>
      </c>
      <c r="H28" s="266" t="s">
        <v>760</v>
      </c>
    </row>
    <row r="29" spans="1:8" x14ac:dyDescent="0.3">
      <c r="A29" t="s">
        <v>685</v>
      </c>
      <c r="B29" t="s">
        <v>686</v>
      </c>
      <c r="D29" t="s">
        <v>748</v>
      </c>
      <c r="E29" t="s">
        <v>749</v>
      </c>
      <c r="G29" t="s">
        <v>100</v>
      </c>
      <c r="H29" t="s">
        <v>101</v>
      </c>
    </row>
    <row r="30" spans="1:8" x14ac:dyDescent="0.3">
      <c r="A30" t="s">
        <v>687</v>
      </c>
      <c r="B30" t="s">
        <v>688</v>
      </c>
      <c r="D30" t="s">
        <v>750</v>
      </c>
      <c r="E30" t="s">
        <v>751</v>
      </c>
      <c r="G30" t="s">
        <v>653</v>
      </c>
      <c r="H30" t="s">
        <v>761</v>
      </c>
    </row>
    <row r="31" spans="1:8" x14ac:dyDescent="0.3">
      <c r="A31" t="s">
        <v>689</v>
      </c>
      <c r="B31" t="s">
        <v>690</v>
      </c>
      <c r="D31" t="s">
        <v>752</v>
      </c>
      <c r="E31" t="s">
        <v>753</v>
      </c>
      <c r="G31" t="s">
        <v>0</v>
      </c>
      <c r="H31" t="s">
        <v>612</v>
      </c>
    </row>
    <row r="32" spans="1:8" x14ac:dyDescent="0.3">
      <c r="A32" t="s">
        <v>691</v>
      </c>
      <c r="B32" t="s">
        <v>692</v>
      </c>
      <c r="D32" t="s">
        <v>675</v>
      </c>
      <c r="E32" t="s">
        <v>608</v>
      </c>
      <c r="G32" t="s">
        <v>6</v>
      </c>
      <c r="H32" t="s">
        <v>613</v>
      </c>
    </row>
    <row r="33" spans="1:9" x14ac:dyDescent="0.3">
      <c r="A33" t="s">
        <v>693</v>
      </c>
      <c r="B33" t="s">
        <v>694</v>
      </c>
      <c r="D33" t="s">
        <v>701</v>
      </c>
      <c r="E33" t="s">
        <v>609</v>
      </c>
      <c r="G33" t="s">
        <v>7</v>
      </c>
      <c r="H33" t="s">
        <v>614</v>
      </c>
    </row>
    <row r="34" spans="1:9" x14ac:dyDescent="0.3">
      <c r="A34" t="s">
        <v>695</v>
      </c>
      <c r="B34" t="s">
        <v>696</v>
      </c>
      <c r="D34" t="s">
        <v>703</v>
      </c>
      <c r="E34" t="s">
        <v>610</v>
      </c>
      <c r="G34" t="s">
        <v>673</v>
      </c>
      <c r="H34" t="s">
        <v>762</v>
      </c>
    </row>
    <row r="35" spans="1:9" x14ac:dyDescent="0.3">
      <c r="A35" t="s">
        <v>100</v>
      </c>
      <c r="B35" t="s">
        <v>697</v>
      </c>
      <c r="G35" t="s">
        <v>0</v>
      </c>
      <c r="H35" t="s">
        <v>763</v>
      </c>
    </row>
    <row r="36" spans="1:9" x14ac:dyDescent="0.3">
      <c r="A36" t="s">
        <v>653</v>
      </c>
      <c r="B36" t="s">
        <v>698</v>
      </c>
      <c r="G36" t="s">
        <v>6</v>
      </c>
      <c r="H36" t="s">
        <v>105</v>
      </c>
    </row>
    <row r="37" spans="1:9" x14ac:dyDescent="0.3">
      <c r="A37" t="s">
        <v>673</v>
      </c>
      <c r="B37" t="s">
        <v>699</v>
      </c>
      <c r="G37" t="s">
        <v>675</v>
      </c>
      <c r="H37" t="s">
        <v>764</v>
      </c>
    </row>
    <row r="38" spans="1:9" x14ac:dyDescent="0.3">
      <c r="A38" t="s">
        <v>675</v>
      </c>
      <c r="B38" t="s">
        <v>700</v>
      </c>
      <c r="G38" t="s">
        <v>0</v>
      </c>
      <c r="H38" t="s">
        <v>765</v>
      </c>
    </row>
    <row r="39" spans="1:9" x14ac:dyDescent="0.3">
      <c r="A39" t="s">
        <v>701</v>
      </c>
      <c r="B39" t="s">
        <v>702</v>
      </c>
      <c r="G39" t="s">
        <v>6</v>
      </c>
      <c r="H39" t="s">
        <v>766</v>
      </c>
    </row>
    <row r="40" spans="1:9" x14ac:dyDescent="0.3">
      <c r="A40" t="s">
        <v>703</v>
      </c>
      <c r="B40" t="s">
        <v>704</v>
      </c>
      <c r="G40" t="s">
        <v>7</v>
      </c>
      <c r="H40" t="s">
        <v>767</v>
      </c>
    </row>
    <row r="41" spans="1:9" x14ac:dyDescent="0.3">
      <c r="A41" t="s">
        <v>705</v>
      </c>
      <c r="B41" t="s">
        <v>706</v>
      </c>
      <c r="G41" t="s">
        <v>701</v>
      </c>
      <c r="H41" t="s">
        <v>107</v>
      </c>
    </row>
    <row r="42" spans="1:9" x14ac:dyDescent="0.3">
      <c r="A42" t="s">
        <v>707</v>
      </c>
      <c r="B42" t="s">
        <v>708</v>
      </c>
      <c r="H42" t="s">
        <v>768</v>
      </c>
    </row>
    <row r="43" spans="1:9" x14ac:dyDescent="0.3">
      <c r="A43" t="s">
        <v>108</v>
      </c>
      <c r="B43" t="s">
        <v>709</v>
      </c>
    </row>
    <row r="44" spans="1:9" x14ac:dyDescent="0.3">
      <c r="A44" t="s">
        <v>653</v>
      </c>
      <c r="B44" t="s">
        <v>710</v>
      </c>
      <c r="H44" t="s">
        <v>111</v>
      </c>
    </row>
    <row r="45" spans="1:9" x14ac:dyDescent="0.3">
      <c r="A45" t="s">
        <v>673</v>
      </c>
      <c r="B45" t="s">
        <v>711</v>
      </c>
      <c r="G45" t="s">
        <v>108</v>
      </c>
      <c r="H45" t="s">
        <v>113</v>
      </c>
    </row>
    <row r="46" spans="1:9" x14ac:dyDescent="0.3">
      <c r="A46" t="s">
        <v>675</v>
      </c>
      <c r="B46" t="s">
        <v>712</v>
      </c>
      <c r="G46" t="s">
        <v>653</v>
      </c>
      <c r="H46" t="s">
        <v>114</v>
      </c>
      <c r="I46" t="s">
        <v>732</v>
      </c>
    </row>
    <row r="47" spans="1:9" x14ac:dyDescent="0.3">
      <c r="A47" t="s">
        <v>701</v>
      </c>
      <c r="B47" t="s">
        <v>713</v>
      </c>
      <c r="G47" t="s">
        <v>673</v>
      </c>
      <c r="H47" t="s">
        <v>115</v>
      </c>
      <c r="I47" t="s">
        <v>116</v>
      </c>
    </row>
    <row r="48" spans="1:9" x14ac:dyDescent="0.3">
      <c r="A48" t="s">
        <v>703</v>
      </c>
      <c r="B48" t="s">
        <v>714</v>
      </c>
      <c r="G48" t="s">
        <v>675</v>
      </c>
      <c r="H48" t="s">
        <v>735</v>
      </c>
      <c r="I48" t="s">
        <v>733</v>
      </c>
    </row>
    <row r="49" spans="1:9" x14ac:dyDescent="0.3">
      <c r="A49" t="s">
        <v>705</v>
      </c>
      <c r="B49" t="s">
        <v>715</v>
      </c>
      <c r="G49" t="s">
        <v>701</v>
      </c>
      <c r="H49" t="s">
        <v>769</v>
      </c>
      <c r="I49" t="s">
        <v>734</v>
      </c>
    </row>
    <row r="50" spans="1:9" x14ac:dyDescent="0.3">
      <c r="A50" t="s">
        <v>707</v>
      </c>
      <c r="B50" t="s">
        <v>716</v>
      </c>
      <c r="G50" t="s">
        <v>0</v>
      </c>
      <c r="H50" t="s">
        <v>615</v>
      </c>
    </row>
    <row r="51" spans="1:9" x14ac:dyDescent="0.3">
      <c r="A51" t="s">
        <v>112</v>
      </c>
      <c r="B51" t="s">
        <v>717</v>
      </c>
      <c r="G51" t="s">
        <v>6</v>
      </c>
      <c r="H51" t="s">
        <v>616</v>
      </c>
    </row>
    <row r="52" spans="1:9" x14ac:dyDescent="0.3">
      <c r="A52" t="s">
        <v>653</v>
      </c>
      <c r="B52" t="s">
        <v>718</v>
      </c>
      <c r="G52" t="s">
        <v>112</v>
      </c>
      <c r="H52" t="s">
        <v>617</v>
      </c>
    </row>
    <row r="53" spans="1:9" x14ac:dyDescent="0.3">
      <c r="A53" t="s">
        <v>673</v>
      </c>
      <c r="B53" t="s">
        <v>719</v>
      </c>
      <c r="G53" t="s">
        <v>0</v>
      </c>
      <c r="H53" t="s">
        <v>770</v>
      </c>
    </row>
    <row r="54" spans="1:9" x14ac:dyDescent="0.3">
      <c r="A54" t="s">
        <v>675</v>
      </c>
      <c r="B54" t="s">
        <v>720</v>
      </c>
      <c r="G54" t="s">
        <v>6</v>
      </c>
      <c r="H54" t="s">
        <v>618</v>
      </c>
    </row>
    <row r="55" spans="1:9" x14ac:dyDescent="0.3">
      <c r="G55" t="s">
        <v>181</v>
      </c>
      <c r="H55" t="s">
        <v>619</v>
      </c>
    </row>
    <row r="56" spans="1:9" x14ac:dyDescent="0.3">
      <c r="G56" t="s">
        <v>182</v>
      </c>
      <c r="H56" t="s">
        <v>620</v>
      </c>
    </row>
    <row r="57" spans="1:9" x14ac:dyDescent="0.3">
      <c r="G57" t="s">
        <v>7</v>
      </c>
      <c r="H57" t="s">
        <v>621</v>
      </c>
    </row>
    <row r="58" spans="1:9" x14ac:dyDescent="0.3">
      <c r="G58" t="s">
        <v>98</v>
      </c>
      <c r="H58" t="s">
        <v>622</v>
      </c>
    </row>
    <row r="59" spans="1:9" x14ac:dyDescent="0.3">
      <c r="G59" t="s">
        <v>117</v>
      </c>
      <c r="H59" t="s">
        <v>119</v>
      </c>
    </row>
    <row r="60" spans="1:9" x14ac:dyDescent="0.3">
      <c r="G60" t="s">
        <v>653</v>
      </c>
      <c r="H60" t="s">
        <v>623</v>
      </c>
    </row>
    <row r="61" spans="1:9" x14ac:dyDescent="0.3">
      <c r="G61" t="s">
        <v>0</v>
      </c>
      <c r="H61" t="s">
        <v>624</v>
      </c>
    </row>
    <row r="62" spans="1:9" x14ac:dyDescent="0.3">
      <c r="G62" t="s">
        <v>6</v>
      </c>
      <c r="H62" t="s">
        <v>625</v>
      </c>
    </row>
    <row r="63" spans="1:9" x14ac:dyDescent="0.3">
      <c r="G63" t="s">
        <v>673</v>
      </c>
      <c r="H63" t="s">
        <v>626</v>
      </c>
    </row>
    <row r="64" spans="1:9" x14ac:dyDescent="0.3">
      <c r="G64" t="s">
        <v>0</v>
      </c>
      <c r="H64" t="s">
        <v>646</v>
      </c>
    </row>
    <row r="65" spans="7:8" x14ac:dyDescent="0.3">
      <c r="G65" t="s">
        <v>6</v>
      </c>
      <c r="H65" t="s">
        <v>624</v>
      </c>
    </row>
    <row r="66" spans="7:8" x14ac:dyDescent="0.3">
      <c r="G66" t="s">
        <v>7</v>
      </c>
      <c r="H66" t="s">
        <v>120</v>
      </c>
    </row>
    <row r="67" spans="7:8" x14ac:dyDescent="0.3">
      <c r="G67" t="s">
        <v>98</v>
      </c>
      <c r="H67" t="s">
        <v>627</v>
      </c>
    </row>
    <row r="68" spans="7:8" x14ac:dyDescent="0.3">
      <c r="G68" t="s">
        <v>8</v>
      </c>
      <c r="H68" t="s">
        <v>121</v>
      </c>
    </row>
    <row r="69" spans="7:8" x14ac:dyDescent="0.3">
      <c r="G69" t="s">
        <v>20</v>
      </c>
      <c r="H69" t="s">
        <v>628</v>
      </c>
    </row>
    <row r="70" spans="7:8" x14ac:dyDescent="0.3">
      <c r="H70" t="s">
        <v>771</v>
      </c>
    </row>
  </sheetData>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Lapas8">
    <tabColor theme="9" tint="-0.249977111117893"/>
  </sheetPr>
  <dimension ref="A1:P90"/>
  <sheetViews>
    <sheetView topLeftCell="A2" zoomScale="85" zoomScaleNormal="130" workbookViewId="0">
      <selection activeCell="B24" sqref="B24:C24"/>
    </sheetView>
  </sheetViews>
  <sheetFormatPr defaultColWidth="8.6640625" defaultRowHeight="13.8" x14ac:dyDescent="0.3"/>
  <cols>
    <col min="1" max="1" width="8.6640625" style="11"/>
    <col min="2" max="2" width="25.6640625" style="11" customWidth="1"/>
    <col min="3" max="6" width="23.5546875" style="11" customWidth="1"/>
    <col min="7" max="7" width="5.88671875" style="10" customWidth="1"/>
    <col min="8" max="8" width="43.5546875" style="20" customWidth="1"/>
    <col min="9" max="10" width="8.6640625" style="11" hidden="1" customWidth="1"/>
    <col min="11" max="11" width="8.6640625" style="11" customWidth="1"/>
    <col min="12" max="16384" width="8.6640625" style="11"/>
  </cols>
  <sheetData>
    <row r="1" spans="1:16" s="7" customFormat="1" ht="15.6" x14ac:dyDescent="0.3">
      <c r="A1" s="133" t="s">
        <v>8</v>
      </c>
      <c r="B1" s="505" t="s">
        <v>339</v>
      </c>
      <c r="C1" s="505"/>
      <c r="D1" s="505"/>
      <c r="E1" s="134"/>
      <c r="F1" s="134"/>
      <c r="G1" s="36"/>
      <c r="H1" s="305" t="s">
        <v>224</v>
      </c>
      <c r="I1" s="85" t="s">
        <v>279</v>
      </c>
      <c r="J1" s="85" t="s">
        <v>278</v>
      </c>
      <c r="K1" s="85"/>
      <c r="L1" s="2"/>
      <c r="M1" s="2"/>
      <c r="N1" s="2"/>
      <c r="O1" s="2"/>
      <c r="P1" s="2"/>
    </row>
    <row r="2" spans="1:16" x14ac:dyDescent="0.3">
      <c r="H2" s="267"/>
      <c r="I2" s="83"/>
      <c r="J2" s="85"/>
      <c r="K2" s="85"/>
    </row>
    <row r="3" spans="1:16" s="7" customFormat="1" x14ac:dyDescent="0.3">
      <c r="A3" s="135" t="s">
        <v>12</v>
      </c>
      <c r="B3" s="136" t="s">
        <v>335</v>
      </c>
      <c r="C3" s="137"/>
      <c r="D3" s="37"/>
      <c r="E3" s="37"/>
      <c r="F3" s="37"/>
      <c r="G3" s="37"/>
      <c r="H3" s="306"/>
      <c r="I3" s="82"/>
    </row>
    <row r="4" spans="1:16" ht="14.4" thickBot="1" x14ac:dyDescent="0.35">
      <c r="A4" s="230"/>
      <c r="B4" s="231" t="s">
        <v>267</v>
      </c>
      <c r="C4" s="231" t="s">
        <v>59</v>
      </c>
      <c r="D4" s="10"/>
      <c r="E4" s="10"/>
      <c r="F4" s="10"/>
      <c r="H4" s="271"/>
      <c r="I4" s="83"/>
    </row>
    <row r="5" spans="1:16" ht="14.4" thickTop="1" x14ac:dyDescent="0.3">
      <c r="A5" s="38" t="s">
        <v>531</v>
      </c>
      <c r="B5" s="229" t="s">
        <v>60</v>
      </c>
      <c r="C5" s="373">
        <f>SUMIFS(E:E,B:B,B5)</f>
        <v>0</v>
      </c>
      <c r="H5" s="271"/>
      <c r="I5" s="83"/>
    </row>
    <row r="6" spans="1:16" x14ac:dyDescent="0.3">
      <c r="A6" s="39" t="s">
        <v>532</v>
      </c>
      <c r="B6" s="78" t="s">
        <v>61</v>
      </c>
      <c r="C6" s="374">
        <f>SUMIFS(E:E,B:B,B6)</f>
        <v>0</v>
      </c>
      <c r="D6" s="10"/>
      <c r="E6" s="10"/>
      <c r="F6" s="10"/>
      <c r="I6" s="83"/>
    </row>
    <row r="7" spans="1:16" x14ac:dyDescent="0.3">
      <c r="A7" s="39" t="s">
        <v>533</v>
      </c>
      <c r="B7" s="78" t="s">
        <v>62</v>
      </c>
      <c r="C7" s="374">
        <f>SUMIFS(E:E,B:B,B7)</f>
        <v>0</v>
      </c>
      <c r="D7" s="10"/>
      <c r="E7" s="10"/>
      <c r="F7" s="10"/>
      <c r="I7" s="83"/>
      <c r="K7" s="10"/>
    </row>
    <row r="8" spans="1:16" x14ac:dyDescent="0.3">
      <c r="A8" s="39" t="s">
        <v>534</v>
      </c>
      <c r="B8" s="78" t="s">
        <v>63</v>
      </c>
      <c r="C8" s="374">
        <f>SUMIFS(E:E,B:B,B8)</f>
        <v>0</v>
      </c>
      <c r="D8" s="10"/>
      <c r="E8" s="10"/>
      <c r="F8" s="10"/>
      <c r="I8" s="83"/>
      <c r="K8" s="10"/>
    </row>
    <row r="9" spans="1:16" x14ac:dyDescent="0.3">
      <c r="A9" s="39" t="s">
        <v>535</v>
      </c>
      <c r="B9" s="249" t="s">
        <v>36</v>
      </c>
      <c r="C9" s="375">
        <f>SUM(C5:C8)</f>
        <v>0</v>
      </c>
      <c r="D9" s="10"/>
      <c r="E9" s="10"/>
      <c r="F9" s="10"/>
      <c r="I9" s="83"/>
      <c r="K9" s="10"/>
    </row>
    <row r="10" spans="1:16" x14ac:dyDescent="0.3">
      <c r="A10" s="39" t="s">
        <v>536</v>
      </c>
      <c r="B10" s="78" t="s">
        <v>64</v>
      </c>
      <c r="C10" s="376">
        <f>E19</f>
        <v>0</v>
      </c>
      <c r="D10" s="10"/>
      <c r="E10" s="10"/>
      <c r="F10" s="10"/>
      <c r="I10" s="83"/>
      <c r="K10" s="10"/>
    </row>
    <row r="11" spans="1:16" x14ac:dyDescent="0.3">
      <c r="A11" s="39" t="s">
        <v>537</v>
      </c>
      <c r="B11" s="78" t="s">
        <v>276</v>
      </c>
      <c r="C11" s="331"/>
      <c r="D11" s="378">
        <f>F19</f>
        <v>0</v>
      </c>
      <c r="E11" s="379" t="s">
        <v>326</v>
      </c>
      <c r="F11" s="10"/>
      <c r="H11" s="267" t="s">
        <v>864</v>
      </c>
      <c r="I11" s="83"/>
    </row>
    <row r="12" spans="1:16" x14ac:dyDescent="0.3">
      <c r="A12" s="39" t="s">
        <v>538</v>
      </c>
      <c r="B12" s="78" t="s">
        <v>266</v>
      </c>
      <c r="C12" s="318"/>
      <c r="D12" s="409"/>
      <c r="F12" s="10"/>
      <c r="H12" s="119" t="str">
        <f>IF(OR(C12=Konstantos!$A$90,'5'!C12=""),"Pasirinkite paramos išmokėjimo būdą","ok")</f>
        <v>Pasirinkite paramos išmokėjimo būdą</v>
      </c>
      <c r="I12" s="83"/>
    </row>
    <row r="13" spans="1:16" x14ac:dyDescent="0.3">
      <c r="A13" s="39" t="s">
        <v>539</v>
      </c>
      <c r="B13" s="78" t="str">
        <f>IFERROR(IF(SEARCH("*avans*",C12)=1, "Prašomo išmokėti avanso dalis, proc.",""),"")</f>
        <v/>
      </c>
      <c r="C13" s="332"/>
      <c r="F13" s="10"/>
      <c r="H13" s="268" t="str">
        <f>IF(AND(B13="",C13&lt;&gt;0),"Ištrinkite duomenis",IF(AND(B13&lt;&gt;"",C13=0),   _xlfn.CONCAT("Jei pasirinktas paramos išmokėjimo būdas 'Kompensavimas su avansu', būtina įvesti avanso dydį procentais. Avanso dydis negali būti didesnis kaip ",Parametrai!C27*100," proc. nuo paramos dydžio."),"ok"))</f>
        <v>ok</v>
      </c>
      <c r="I13" s="83"/>
    </row>
    <row r="14" spans="1:16" x14ac:dyDescent="0.3">
      <c r="A14" s="39" t="s">
        <v>540</v>
      </c>
      <c r="B14" s="78" t="str">
        <f>IFERROR(IF(SEARCH("*avans*",C12)=1, "Paramos išmokėjimas avansu, Eur",""),"")</f>
        <v/>
      </c>
      <c r="C14" s="377">
        <f>IF(B14&lt;&gt;"",C13*C11,0)</f>
        <v>0</v>
      </c>
      <c r="D14" s="79"/>
      <c r="F14" s="10"/>
      <c r="H14" s="267"/>
      <c r="I14" s="84"/>
    </row>
    <row r="15" spans="1:16" x14ac:dyDescent="0.3">
      <c r="A15" s="39" t="s">
        <v>541</v>
      </c>
      <c r="B15" s="78" t="str">
        <f>IFERROR(IF(SEARCH("*avans*",C12)=1, "Planuojama avanso išmokėjimo data",""),"")</f>
        <v/>
      </c>
      <c r="C15" s="333"/>
      <c r="D15" s="79"/>
      <c r="F15" s="10"/>
      <c r="H15" s="268" t="str">
        <f>IF(AND(B15="",C15&lt;&gt;0),"Ištrinkite datą",IF(AND(B15&lt;&gt;"",C15=0),"Įveskite datą","ok"))</f>
        <v>ok</v>
      </c>
      <c r="I15" s="83"/>
    </row>
    <row r="16" spans="1:16" x14ac:dyDescent="0.3">
      <c r="H16" s="267"/>
      <c r="I16" s="83"/>
    </row>
    <row r="17" spans="1:11" x14ac:dyDescent="0.3">
      <c r="A17" s="239" t="s">
        <v>15</v>
      </c>
      <c r="B17" s="506" t="s">
        <v>65</v>
      </c>
      <c r="C17" s="506"/>
      <c r="D17" s="506"/>
      <c r="E17" s="506"/>
      <c r="F17" s="506"/>
      <c r="H17" s="267"/>
      <c r="I17" s="83"/>
    </row>
    <row r="18" spans="1:11" ht="28.2" thickBot="1" x14ac:dyDescent="0.35">
      <c r="A18" s="243"/>
      <c r="B18" s="138" t="s">
        <v>66</v>
      </c>
      <c r="C18" s="138" t="s">
        <v>338</v>
      </c>
      <c r="D18" s="138" t="s">
        <v>67</v>
      </c>
      <c r="E18" s="138" t="s">
        <v>68</v>
      </c>
      <c r="F18" s="138" t="s">
        <v>40</v>
      </c>
      <c r="H18" s="267"/>
      <c r="I18" s="83"/>
    </row>
    <row r="19" spans="1:11" ht="15" thickTop="1" thickBot="1" x14ac:dyDescent="0.35">
      <c r="A19" s="244"/>
      <c r="B19" s="250" t="s">
        <v>69</v>
      </c>
      <c r="C19" s="240"/>
      <c r="D19" s="380">
        <f>SUMIFS(D:D,$B:$B,"Iš viso investicijų*")</f>
        <v>0</v>
      </c>
      <c r="E19" s="380">
        <f>SUMIFS(E:E,$B:$B,"Iš viso investicijų*")</f>
        <v>0</v>
      </c>
      <c r="F19" s="380">
        <f>SUMIFS(F:F,$B:$B,"Paramos išmokėjimas*")+$C$14</f>
        <v>0</v>
      </c>
      <c r="H19" s="307" t="s">
        <v>863</v>
      </c>
      <c r="I19" s="83"/>
    </row>
    <row r="20" spans="1:11" ht="14.4" thickTop="1" x14ac:dyDescent="0.3">
      <c r="A20" s="245" t="s">
        <v>348</v>
      </c>
      <c r="B20" s="237" t="s">
        <v>41</v>
      </c>
      <c r="C20" s="334"/>
      <c r="D20" s="238"/>
      <c r="E20" s="238"/>
      <c r="F20" s="238"/>
      <c r="H20" s="267" t="str">
        <f>IF(AND(C20="",D26&lt;&gt;0),"Klaida! Įveskite etapo paramos išmokėjimo prašymo pateikimo datą","ok")</f>
        <v>ok</v>
      </c>
      <c r="I20" s="83"/>
    </row>
    <row r="21" spans="1:11" x14ac:dyDescent="0.3">
      <c r="A21" s="246" t="s">
        <v>349</v>
      </c>
      <c r="B21" s="503"/>
      <c r="C21" s="504"/>
      <c r="D21" s="335"/>
      <c r="E21" s="335"/>
      <c r="F21" s="335"/>
      <c r="H21" s="267"/>
      <c r="I21" s="83"/>
    </row>
    <row r="22" spans="1:11" x14ac:dyDescent="0.3">
      <c r="A22" s="246" t="s">
        <v>350</v>
      </c>
      <c r="B22" s="503"/>
      <c r="C22" s="504"/>
      <c r="D22" s="335"/>
      <c r="E22" s="335"/>
      <c r="F22" s="335"/>
      <c r="H22" s="267"/>
      <c r="I22" s="83"/>
    </row>
    <row r="23" spans="1:11" x14ac:dyDescent="0.3">
      <c r="A23" s="246" t="s">
        <v>351</v>
      </c>
      <c r="B23" s="503"/>
      <c r="C23" s="504"/>
      <c r="D23" s="335"/>
      <c r="E23" s="335"/>
      <c r="F23" s="335"/>
      <c r="H23" s="267"/>
      <c r="I23" s="83"/>
    </row>
    <row r="24" spans="1:11" x14ac:dyDescent="0.3">
      <c r="A24" s="246" t="s">
        <v>352</v>
      </c>
      <c r="B24" s="503"/>
      <c r="C24" s="504"/>
      <c r="D24" s="335"/>
      <c r="E24" s="335"/>
      <c r="F24" s="335"/>
      <c r="H24" s="267"/>
      <c r="I24" s="83"/>
    </row>
    <row r="25" spans="1:11" x14ac:dyDescent="0.3">
      <c r="A25" s="246" t="s">
        <v>353</v>
      </c>
      <c r="B25" s="503"/>
      <c r="C25" s="504"/>
      <c r="D25" s="335"/>
      <c r="E25" s="335"/>
      <c r="F25" s="335"/>
      <c r="H25" s="267"/>
      <c r="I25" s="83"/>
    </row>
    <row r="26" spans="1:11" x14ac:dyDescent="0.3">
      <c r="A26" s="247"/>
      <c r="B26" s="139" t="s">
        <v>444</v>
      </c>
      <c r="C26" s="381" t="str">
        <f>IF(C20="","-",C20)</f>
        <v>-</v>
      </c>
      <c r="D26" s="382">
        <f>SUM(D21:D25)</f>
        <v>0</v>
      </c>
      <c r="E26" s="382">
        <f>SUM(E21:E25)</f>
        <v>0</v>
      </c>
      <c r="F26" s="248"/>
      <c r="H26" s="267"/>
      <c r="I26" s="83"/>
    </row>
    <row r="27" spans="1:11" ht="24" x14ac:dyDescent="0.3">
      <c r="A27" s="247"/>
      <c r="B27" s="140" t="s">
        <v>859</v>
      </c>
      <c r="C27" s="381" t="str">
        <f>IF(C20="","-",EOMONTH(C20,Parametrai!$C$17))</f>
        <v>-</v>
      </c>
      <c r="D27" s="141"/>
      <c r="E27" s="141"/>
      <c r="F27" s="382">
        <f>IF($C$14+SUMIFS($F$17:$F19,$B$17:$B19,"Paramos išmokėjimas*")+SUM(F21:F25)&lt;$C$11,SUM(F21:F25),IF($C$14+SUMIFS($F$17:$F19,$B$17:$B19,"Paramos išmokėjimas*")&lt;=$C$11,$C$11-$C$14-SUMIFS($F$17:$F19,$B$17:$B19,"Paramos išmokėjimas*"),0))</f>
        <v>0</v>
      </c>
      <c r="H27" s="267"/>
      <c r="I27" s="84" t="b">
        <f>OR(SUM(F21:F25)&gt;0)</f>
        <v>0</v>
      </c>
    </row>
    <row r="28" spans="1:11" x14ac:dyDescent="0.3">
      <c r="A28" s="247"/>
      <c r="B28" s="142" t="s">
        <v>336</v>
      </c>
      <c r="C28" s="143"/>
      <c r="D28" s="141"/>
      <c r="E28" s="141"/>
      <c r="F28" s="141"/>
      <c r="H28" s="267"/>
      <c r="I28" s="83"/>
    </row>
    <row r="29" spans="1:11" x14ac:dyDescent="0.3">
      <c r="A29" s="246" t="s">
        <v>354</v>
      </c>
      <c r="B29" s="144" t="s">
        <v>60</v>
      </c>
      <c r="C29" s="141"/>
      <c r="D29" s="141"/>
      <c r="E29" s="335"/>
      <c r="F29" s="141"/>
      <c r="H29" s="267"/>
      <c r="I29" s="83"/>
    </row>
    <row r="30" spans="1:11" x14ac:dyDescent="0.3">
      <c r="A30" s="246" t="s">
        <v>355</v>
      </c>
      <c r="B30" s="144" t="s">
        <v>61</v>
      </c>
      <c r="C30" s="141"/>
      <c r="D30" s="141"/>
      <c r="E30" s="335"/>
      <c r="F30" s="141"/>
      <c r="H30" s="308"/>
      <c r="I30" s="83"/>
    </row>
    <row r="31" spans="1:11" x14ac:dyDescent="0.3">
      <c r="A31" s="246" t="s">
        <v>356</v>
      </c>
      <c r="B31" s="144" t="s">
        <v>62</v>
      </c>
      <c r="C31" s="141"/>
      <c r="D31" s="141"/>
      <c r="E31" s="335"/>
      <c r="F31" s="141"/>
      <c r="H31" s="267"/>
      <c r="I31" s="83"/>
    </row>
    <row r="32" spans="1:11" x14ac:dyDescent="0.3">
      <c r="A32" s="246" t="s">
        <v>357</v>
      </c>
      <c r="B32" s="144" t="s">
        <v>63</v>
      </c>
      <c r="C32" s="141"/>
      <c r="D32" s="141"/>
      <c r="E32" s="335"/>
      <c r="F32" s="141"/>
      <c r="H32" s="267" t="str">
        <f>IF($C$12=Konstantos!$A$91,
    IF(J32&lt;0,
        _xlfn.CONCAT("Klaida! Įvesta per didelė paramos sumą. Sumažinkite: ", J32, " Eur"),
        _xlfn.CONCAT("Paramos likutis etapo investicijų finansavimui: ", J32, " Eur")),
    IF($C$12=Konstantos!$A$93,
        IF(J32&gt;=0,
            _xlfn.CONCAT("Paramos likutis etapo investicijų finansavimui: ", J32, " Eur"),
            _xlfn.CONCAT("Klaida! Įvedėte per didelį paramos dydį: ", J32, " Eur")),
    IF($C$12=Konstantos!$A$92,
        IF(F27&lt;&gt;E32,
            _xlfn.CONCAT("Klaida! Įveskite etapo paramos sumą: ", F27, " Eur"),
            "ok"),
        "Klaida! Pasirinkite paramos išmokėjimo būdą!")))</f>
        <v>Klaida! Pasirinkite paramos išmokėjimo būdą!</v>
      </c>
      <c r="I32" s="84"/>
      <c r="J32" s="84" t="str">
        <f>IF(
    OR(
        $C$12 =
            Konstantos!$A$91,
        $C$12 = Konstantos!$A$93
    ),
    SUMIFS(
        $F$1:$F19,
        $B$1:$B19, "Paramos išmokėjimas*"
    ) + $C$14 -
        SUMIFS(
            $E$1:$E32,
            $B$1:$B32, "Paramos lėšos"
        ),
    IF(
        $C$12 =
            Konstantos!$A$92,
        $F27,
        "-"
    )
)</f>
        <v>-</v>
      </c>
      <c r="K32" s="86"/>
    </row>
    <row r="33" spans="1:11" ht="14.4" thickBot="1" x14ac:dyDescent="0.35">
      <c r="A33" s="243"/>
      <c r="B33" s="241" t="s">
        <v>70</v>
      </c>
      <c r="C33" s="242"/>
      <c r="D33" s="242"/>
      <c r="E33" s="383">
        <f>SUM(E29:E32)</f>
        <v>0</v>
      </c>
      <c r="F33" s="242"/>
      <c r="H33" s="267"/>
      <c r="I33" s="83"/>
    </row>
    <row r="34" spans="1:11" ht="14.4" thickTop="1" x14ac:dyDescent="0.3">
      <c r="A34" s="245" t="s">
        <v>358</v>
      </c>
      <c r="B34" s="237" t="s">
        <v>42</v>
      </c>
      <c r="C34" s="334"/>
      <c r="D34" s="238"/>
      <c r="E34" s="238"/>
      <c r="F34" s="238"/>
      <c r="H34" s="267" t="str">
        <f>IF(AND(C34="",D40&lt;&gt;0),"Klaida! Įveskite etapo paramos išmokėjimo prašymo pateikimo datą","ok")</f>
        <v>ok</v>
      </c>
      <c r="I34" s="83"/>
    </row>
    <row r="35" spans="1:11" x14ac:dyDescent="0.3">
      <c r="A35" s="246" t="s">
        <v>359</v>
      </c>
      <c r="B35" s="503"/>
      <c r="C35" s="504"/>
      <c r="D35" s="335"/>
      <c r="E35" s="335"/>
      <c r="F35" s="335"/>
      <c r="H35" s="267"/>
      <c r="I35" s="83"/>
    </row>
    <row r="36" spans="1:11" x14ac:dyDescent="0.3">
      <c r="A36" s="246" t="s">
        <v>360</v>
      </c>
      <c r="B36" s="503"/>
      <c r="C36" s="504"/>
      <c r="D36" s="335"/>
      <c r="E36" s="335"/>
      <c r="F36" s="335"/>
      <c r="H36" s="267"/>
      <c r="I36" s="83"/>
    </row>
    <row r="37" spans="1:11" x14ac:dyDescent="0.3">
      <c r="A37" s="246" t="s">
        <v>361</v>
      </c>
      <c r="B37" s="503"/>
      <c r="C37" s="504"/>
      <c r="D37" s="335"/>
      <c r="E37" s="335"/>
      <c r="F37" s="335"/>
      <c r="H37" s="267"/>
      <c r="I37" s="83"/>
    </row>
    <row r="38" spans="1:11" x14ac:dyDescent="0.3">
      <c r="A38" s="246" t="s">
        <v>362</v>
      </c>
      <c r="B38" s="503"/>
      <c r="C38" s="504"/>
      <c r="D38" s="335"/>
      <c r="E38" s="335"/>
      <c r="F38" s="335"/>
      <c r="H38" s="267"/>
      <c r="I38" s="83"/>
    </row>
    <row r="39" spans="1:11" x14ac:dyDescent="0.3">
      <c r="A39" s="246" t="s">
        <v>363</v>
      </c>
      <c r="B39" s="503"/>
      <c r="C39" s="504"/>
      <c r="D39" s="335"/>
      <c r="E39" s="335"/>
      <c r="F39" s="335"/>
      <c r="H39" s="267"/>
      <c r="I39" s="83"/>
    </row>
    <row r="40" spans="1:11" x14ac:dyDescent="0.3">
      <c r="A40" s="247"/>
      <c r="B40" s="139" t="s">
        <v>444</v>
      </c>
      <c r="C40" s="381" t="str">
        <f>IF(C34="","-",C34)</f>
        <v>-</v>
      </c>
      <c r="D40" s="382">
        <f>SUM(D35:D39)</f>
        <v>0</v>
      </c>
      <c r="E40" s="382">
        <f>SUM(E35:E39)</f>
        <v>0</v>
      </c>
      <c r="F40" s="248"/>
      <c r="H40" s="267"/>
      <c r="I40" s="83"/>
    </row>
    <row r="41" spans="1:11" ht="24" x14ac:dyDescent="0.3">
      <c r="A41" s="247"/>
      <c r="B41" s="140" t="s">
        <v>860</v>
      </c>
      <c r="C41" s="381" t="str">
        <f>IF(C34="","-",EOMONTH(C34,Parametrai!$C$17))</f>
        <v>-</v>
      </c>
      <c r="D41" s="141"/>
      <c r="E41" s="141"/>
      <c r="F41" s="382">
        <f>IF($C$14+SUMIFS($F$17:$F33,$B$17:$B33,"Paramos išmokėjimas*")+SUM(F35:F39)&lt;$C$11,SUM(F35:F39),IF($C$14+SUMIFS($F$17:$F33,$B$17:$B33,"Paramos išmokėjimas*")&lt;=$C$11,$C$11-$C$14-SUMIFS($F$17:$F33,$B$17:$B33,"Paramos išmokėjimas*"),0))</f>
        <v>0</v>
      </c>
      <c r="H41" s="267"/>
      <c r="I41" s="84" t="b">
        <f>OR(SUM(F35:F39)&gt;0)</f>
        <v>0</v>
      </c>
      <c r="J41" s="84"/>
    </row>
    <row r="42" spans="1:11" x14ac:dyDescent="0.3">
      <c r="A42" s="247"/>
      <c r="B42" s="142" t="s">
        <v>336</v>
      </c>
      <c r="C42" s="141"/>
      <c r="D42" s="141"/>
      <c r="E42" s="141"/>
      <c r="F42" s="141"/>
      <c r="H42" s="267"/>
      <c r="I42" s="83"/>
    </row>
    <row r="43" spans="1:11" x14ac:dyDescent="0.3">
      <c r="A43" s="246" t="s">
        <v>364</v>
      </c>
      <c r="B43" s="144" t="s">
        <v>60</v>
      </c>
      <c r="C43" s="141"/>
      <c r="D43" s="141"/>
      <c r="E43" s="335"/>
      <c r="F43" s="141"/>
      <c r="H43" s="267"/>
      <c r="I43" s="83"/>
    </row>
    <row r="44" spans="1:11" x14ac:dyDescent="0.3">
      <c r="A44" s="246" t="s">
        <v>365</v>
      </c>
      <c r="B44" s="144" t="s">
        <v>61</v>
      </c>
      <c r="C44" s="141"/>
      <c r="D44" s="141"/>
      <c r="E44" s="335"/>
      <c r="F44" s="141"/>
      <c r="H44" s="267"/>
      <c r="I44" s="83"/>
    </row>
    <row r="45" spans="1:11" x14ac:dyDescent="0.3">
      <c r="A45" s="246" t="s">
        <v>366</v>
      </c>
      <c r="B45" s="144" t="s">
        <v>62</v>
      </c>
      <c r="C45" s="141"/>
      <c r="D45" s="141"/>
      <c r="E45" s="335"/>
      <c r="F45" s="141"/>
      <c r="H45" s="267"/>
      <c r="I45" s="83"/>
    </row>
    <row r="46" spans="1:11" x14ac:dyDescent="0.3">
      <c r="A46" s="246" t="s">
        <v>367</v>
      </c>
      <c r="B46" s="144" t="s">
        <v>63</v>
      </c>
      <c r="C46" s="141"/>
      <c r="D46" s="141"/>
      <c r="E46" s="335"/>
      <c r="F46" s="141"/>
      <c r="H46" s="267" t="str">
        <f>IF($C$12=Konstantos!$A$91,
    IF(J46&lt;0,
        _xlfn.CONCAT("Klaida! Įvesta per didelė paramos sumą. Sumažinkite: ", J46, " Eur"),
        _xlfn.CONCAT("Paramos likutis etapo investicijų finansavimui: ", J46, " Eur")),
    IF($C$12=Konstantos!$A$93,
        IF(J46&gt;=0,
            _xlfn.CONCAT("Paramos likutis etapo investicijų finansavimui: ", J46, " Eur"),
            _xlfn.CONCAT("Klaida! Įvedėte per didelį paramos dydį: ", J46, " Eur")),
    IF($C$12=Konstantos!$A$92,
        IF(F41&lt;&gt;E46,
            _xlfn.CONCAT("Klaida! Įveskite etapo paramos sumą: ", F41, " Eur"),
            "ok"),
        "Klaida! Pasirinkite paramos išmokėjimo būdą!")))</f>
        <v>Klaida! Pasirinkite paramos išmokėjimo būdą!</v>
      </c>
      <c r="I46" s="84"/>
      <c r="J46" s="84" t="str">
        <f>IF(
    OR(
        $C$12 =
            Konstantos!$A$91,
        $C$12 = Konstantos!$A$93
    ),
    SUMIFS(
        $F$1:$F33,
        $B$1:$B33, "Paramos išmokėjimas*"
    ) + $C$14 -
        SUMIFS(
            $E$1:$E46,
            $B$1:$B46, "Paramos lėšos"
        ),
    IF(
        $C$12 =
            Konstantos!$A$92,
        $F41,
        "-"
    )
)</f>
        <v>-</v>
      </c>
      <c r="K46" s="86"/>
    </row>
    <row r="47" spans="1:11" ht="14.4" thickBot="1" x14ac:dyDescent="0.35">
      <c r="A47" s="243"/>
      <c r="B47" s="241" t="s">
        <v>70</v>
      </c>
      <c r="C47" s="242"/>
      <c r="D47" s="242"/>
      <c r="E47" s="383">
        <f>SUM(E43:E46)</f>
        <v>0</v>
      </c>
      <c r="F47" s="242"/>
      <c r="H47" s="267"/>
      <c r="I47" s="83"/>
    </row>
    <row r="48" spans="1:11" ht="14.4" thickTop="1" x14ac:dyDescent="0.3">
      <c r="A48" s="245" t="s">
        <v>368</v>
      </c>
      <c r="B48" s="238" t="s">
        <v>71</v>
      </c>
      <c r="C48" s="334"/>
      <c r="D48" s="238"/>
      <c r="E48" s="238"/>
      <c r="F48" s="238"/>
      <c r="H48" s="267" t="str">
        <f>IF(AND(C48="",D54&lt;&gt;0),"Klaida! Įveskite etapo paramos išmokėjimo prašymo pateikimo datą","ok")</f>
        <v>ok</v>
      </c>
      <c r="I48" s="83"/>
    </row>
    <row r="49" spans="1:11" x14ac:dyDescent="0.3">
      <c r="A49" s="246" t="s">
        <v>369</v>
      </c>
      <c r="B49" s="503"/>
      <c r="C49" s="504"/>
      <c r="D49" s="335"/>
      <c r="E49" s="335"/>
      <c r="F49" s="335"/>
      <c r="H49" s="267"/>
      <c r="I49" s="83"/>
    </row>
    <row r="50" spans="1:11" x14ac:dyDescent="0.3">
      <c r="A50" s="246" t="s">
        <v>370</v>
      </c>
      <c r="B50" s="503"/>
      <c r="C50" s="504"/>
      <c r="D50" s="335"/>
      <c r="E50" s="335"/>
      <c r="F50" s="335"/>
      <c r="H50" s="267"/>
      <c r="I50" s="83"/>
    </row>
    <row r="51" spans="1:11" x14ac:dyDescent="0.3">
      <c r="A51" s="246" t="s">
        <v>371</v>
      </c>
      <c r="B51" s="503"/>
      <c r="C51" s="504"/>
      <c r="D51" s="335"/>
      <c r="E51" s="335"/>
      <c r="F51" s="335"/>
      <c r="H51" s="267"/>
      <c r="I51" s="83"/>
    </row>
    <row r="52" spans="1:11" x14ac:dyDescent="0.3">
      <c r="A52" s="246" t="s">
        <v>372</v>
      </c>
      <c r="B52" s="503"/>
      <c r="C52" s="504"/>
      <c r="D52" s="335"/>
      <c r="E52" s="335"/>
      <c r="F52" s="335"/>
      <c r="H52" s="267"/>
      <c r="I52" s="83"/>
    </row>
    <row r="53" spans="1:11" x14ac:dyDescent="0.3">
      <c r="A53" s="246" t="s">
        <v>373</v>
      </c>
      <c r="B53" s="503"/>
      <c r="C53" s="504"/>
      <c r="D53" s="335"/>
      <c r="E53" s="335"/>
      <c r="F53" s="335"/>
      <c r="H53" s="267"/>
      <c r="I53" s="83"/>
    </row>
    <row r="54" spans="1:11" x14ac:dyDescent="0.3">
      <c r="A54" s="247"/>
      <c r="B54" s="139" t="s">
        <v>444</v>
      </c>
      <c r="C54" s="381" t="str">
        <f>IF(C48="","-",C48)</f>
        <v>-</v>
      </c>
      <c r="D54" s="382">
        <f>SUM(D49:D53)</f>
        <v>0</v>
      </c>
      <c r="E54" s="382">
        <f>SUM(E49:E53)</f>
        <v>0</v>
      </c>
      <c r="F54" s="248"/>
      <c r="H54" s="267"/>
      <c r="I54" s="83"/>
    </row>
    <row r="55" spans="1:11" ht="24" x14ac:dyDescent="0.3">
      <c r="A55" s="247"/>
      <c r="B55" s="140" t="s">
        <v>861</v>
      </c>
      <c r="C55" s="381" t="str">
        <f>IF(C48="","-",EOMONTH(C48,Parametrai!$C$17))</f>
        <v>-</v>
      </c>
      <c r="D55" s="141"/>
      <c r="E55" s="141"/>
      <c r="F55" s="382">
        <f>IF($C$14+SUMIFS($F$17:$F47,$B$17:$B47,"Paramos išmokėjimas*")+SUM(F49:F53)&lt;$C$11,SUM(F49:F53),IF($C$14+SUMIFS($F$17:$F47,$B$17:$B47,"Paramos išmokėjimas*")&lt;=$C$11,$C$11-$C$14-SUMIFS($F$17:$F47,$B$17:$B47,"Paramos išmokėjimas*"),0))</f>
        <v>0</v>
      </c>
      <c r="H55" s="267"/>
      <c r="I55" s="84" t="b">
        <f>OR(SUM(F49:F53)&gt;0)</f>
        <v>0</v>
      </c>
      <c r="J55" s="84"/>
    </row>
    <row r="56" spans="1:11" x14ac:dyDescent="0.3">
      <c r="A56" s="247"/>
      <c r="B56" s="142" t="s">
        <v>336</v>
      </c>
      <c r="C56" s="141"/>
      <c r="D56" s="141"/>
      <c r="E56" s="141"/>
      <c r="F56" s="141"/>
      <c r="H56" s="267"/>
      <c r="I56" s="83"/>
    </row>
    <row r="57" spans="1:11" x14ac:dyDescent="0.3">
      <c r="A57" s="246" t="s">
        <v>386</v>
      </c>
      <c r="B57" s="144" t="s">
        <v>60</v>
      </c>
      <c r="C57" s="141"/>
      <c r="D57" s="141"/>
      <c r="E57" s="335"/>
      <c r="F57" s="141"/>
      <c r="H57" s="267"/>
      <c r="I57" s="83"/>
    </row>
    <row r="58" spans="1:11" x14ac:dyDescent="0.3">
      <c r="A58" s="246" t="s">
        <v>387</v>
      </c>
      <c r="B58" s="144" t="s">
        <v>61</v>
      </c>
      <c r="C58" s="141"/>
      <c r="D58" s="141"/>
      <c r="E58" s="335"/>
      <c r="F58" s="141"/>
      <c r="H58" s="267"/>
      <c r="I58" s="83"/>
    </row>
    <row r="59" spans="1:11" x14ac:dyDescent="0.3">
      <c r="A59" s="246" t="s">
        <v>388</v>
      </c>
      <c r="B59" s="144" t="s">
        <v>62</v>
      </c>
      <c r="C59" s="141"/>
      <c r="D59" s="141"/>
      <c r="E59" s="335"/>
      <c r="F59" s="141"/>
      <c r="H59" s="267"/>
      <c r="I59" s="83"/>
    </row>
    <row r="60" spans="1:11" x14ac:dyDescent="0.3">
      <c r="A60" s="246" t="s">
        <v>389</v>
      </c>
      <c r="B60" s="144" t="s">
        <v>63</v>
      </c>
      <c r="C60" s="141"/>
      <c r="D60" s="141"/>
      <c r="E60" s="335"/>
      <c r="F60" s="141"/>
      <c r="H60" s="267" t="str">
        <f>IF($C$12=Konstantos!$A$91,
    IF(J60&lt;0,
        _xlfn.CONCAT("Klaida! Įvesta per didelė paramos sumą. Sumažinkite: ", J60, " Eur"),
        _xlfn.CONCAT("Paramos likutis etapo investicijų finansavimui: ", J60, " Eur")),
    IF($C$12=Konstantos!$A$93,
        IF(J60&gt;=0,
            _xlfn.CONCAT("Paramos likutis etapo investicijų finansavimui: ", J60, " Eur"),
            _xlfn.CONCAT("Klaida! Įvedėte per didelį paramos dydį: ", J60, " Eur")),
    IF($C$12=Konstantos!$A$92,
        IF(F55&lt;&gt;E60,
            _xlfn.CONCAT("Klaida! Įveskite etapo paramos sumą: ", F55, " Eur"),
            "ok"),
        "Klaida! Pasirinkite paramos išmokėjimo būdą!")))</f>
        <v>Klaida! Pasirinkite paramos išmokėjimo būdą!</v>
      </c>
      <c r="I60" s="84"/>
      <c r="J60" s="84" t="str">
        <f>IF(
    OR(
        $C$12 =
            Konstantos!$A$91,
        $C$12 = Konstantos!$A$93
    ),
    SUMIFS(
        $F$1:$F47,
        $B$1:$B47, "Paramos išmokėjimas*"
    ) + $C$14 -
        SUMIFS(
            $E$1:$E60,
            $B$1:$B60, "Paramos lėšos"
        ),
    IF(
        $C$12 =
            Konstantos!$A$92,
        $F55,
        "-"
    )
)</f>
        <v>-</v>
      </c>
      <c r="K60" s="86"/>
    </row>
    <row r="61" spans="1:11" ht="14.4" thickBot="1" x14ac:dyDescent="0.35">
      <c r="A61" s="243"/>
      <c r="B61" s="241" t="s">
        <v>70</v>
      </c>
      <c r="C61" s="242"/>
      <c r="D61" s="242"/>
      <c r="E61" s="383">
        <f>SUM(E57:E60)</f>
        <v>0</v>
      </c>
      <c r="F61" s="242"/>
      <c r="H61" s="267"/>
      <c r="I61" s="83"/>
    </row>
    <row r="62" spans="1:11" ht="14.4" thickTop="1" x14ac:dyDescent="0.3">
      <c r="A62" s="245" t="s">
        <v>374</v>
      </c>
      <c r="B62" s="238" t="s">
        <v>72</v>
      </c>
      <c r="C62" s="334"/>
      <c r="D62" s="238"/>
      <c r="E62" s="238"/>
      <c r="F62" s="238"/>
      <c r="H62" s="267" t="str">
        <f>IF(AND(C62="",D68&lt;&gt;0),"Klaida! Įveskite etapo paramos išmokėjimo prašymo pateikimo datą","ok")</f>
        <v>ok</v>
      </c>
      <c r="I62" s="83"/>
    </row>
    <row r="63" spans="1:11" x14ac:dyDescent="0.3">
      <c r="A63" s="246" t="s">
        <v>375</v>
      </c>
      <c r="B63" s="503"/>
      <c r="C63" s="504"/>
      <c r="D63" s="335"/>
      <c r="E63" s="335"/>
      <c r="F63" s="335"/>
      <c r="H63" s="267"/>
      <c r="I63" s="83"/>
    </row>
    <row r="64" spans="1:11" x14ac:dyDescent="0.3">
      <c r="A64" s="246" t="s">
        <v>376</v>
      </c>
      <c r="B64" s="503"/>
      <c r="C64" s="504"/>
      <c r="D64" s="335"/>
      <c r="E64" s="335"/>
      <c r="F64" s="335"/>
      <c r="H64" s="267"/>
      <c r="I64" s="83"/>
    </row>
    <row r="65" spans="1:11" x14ac:dyDescent="0.3">
      <c r="A65" s="246" t="s">
        <v>377</v>
      </c>
      <c r="B65" s="503"/>
      <c r="C65" s="504"/>
      <c r="D65" s="335"/>
      <c r="E65" s="335"/>
      <c r="F65" s="335"/>
      <c r="H65" s="267"/>
      <c r="I65" s="83"/>
    </row>
    <row r="66" spans="1:11" x14ac:dyDescent="0.3">
      <c r="A66" s="246" t="s">
        <v>378</v>
      </c>
      <c r="B66" s="503"/>
      <c r="C66" s="504"/>
      <c r="D66" s="335"/>
      <c r="E66" s="335"/>
      <c r="F66" s="335"/>
      <c r="H66" s="267"/>
      <c r="I66" s="83"/>
    </row>
    <row r="67" spans="1:11" x14ac:dyDescent="0.3">
      <c r="A67" s="246" t="s">
        <v>379</v>
      </c>
      <c r="B67" s="503"/>
      <c r="C67" s="504"/>
      <c r="D67" s="335"/>
      <c r="E67" s="335"/>
      <c r="F67" s="335"/>
      <c r="H67" s="267"/>
      <c r="I67" s="83"/>
    </row>
    <row r="68" spans="1:11" x14ac:dyDescent="0.3">
      <c r="A68" s="247"/>
      <c r="B68" s="139" t="s">
        <v>444</v>
      </c>
      <c r="C68" s="381" t="str">
        <f>IF(C62="","-",C62)</f>
        <v>-</v>
      </c>
      <c r="D68" s="382">
        <f>SUM(D63:D67)</f>
        <v>0</v>
      </c>
      <c r="E68" s="382">
        <f>SUM(E63:E67)</f>
        <v>0</v>
      </c>
      <c r="F68" s="248"/>
      <c r="H68" s="267"/>
      <c r="I68" s="83"/>
    </row>
    <row r="69" spans="1:11" ht="24" x14ac:dyDescent="0.3">
      <c r="A69" s="247"/>
      <c r="B69" s="140" t="s">
        <v>862</v>
      </c>
      <c r="C69" s="381" t="str">
        <f>IF(C62="","-",EOMONTH(C62,Parametrai!$C$17))</f>
        <v>-</v>
      </c>
      <c r="D69" s="141"/>
      <c r="E69" s="141"/>
      <c r="F69" s="382">
        <f>IF($C$14+SUMIFS($F$17:$F61,$B$17:$B61,"Paramos išmokėjimas*")+SUM(F63:F67)&lt;$C$11,SUM(F63:F67),IF($C$14+SUMIFS($F$17:$F61,$B$17:$B61,"Paramos išmokėjimas*")&lt;=$C$11,$C$11-$C$14-SUMIFS($F$17:$F61,$B$17:$B61,"Paramos išmokėjimas*"),0))</f>
        <v>0</v>
      </c>
      <c r="H69" s="267"/>
      <c r="I69" s="84" t="b">
        <f>OR(SUM(F63:F67)&gt;0)</f>
        <v>0</v>
      </c>
    </row>
    <row r="70" spans="1:11" x14ac:dyDescent="0.3">
      <c r="A70" s="247"/>
      <c r="B70" s="142" t="s">
        <v>336</v>
      </c>
      <c r="C70" s="141"/>
      <c r="D70" s="141"/>
      <c r="E70" s="141"/>
      <c r="F70" s="141"/>
      <c r="H70" s="267"/>
      <c r="I70" s="83"/>
    </row>
    <row r="71" spans="1:11" x14ac:dyDescent="0.3">
      <c r="A71" s="246" t="s">
        <v>390</v>
      </c>
      <c r="B71" s="144" t="s">
        <v>60</v>
      </c>
      <c r="C71" s="141"/>
      <c r="D71" s="141"/>
      <c r="E71" s="335"/>
      <c r="F71" s="141"/>
      <c r="H71" s="267"/>
      <c r="I71" s="83"/>
    </row>
    <row r="72" spans="1:11" x14ac:dyDescent="0.3">
      <c r="A72" s="246" t="s">
        <v>391</v>
      </c>
      <c r="B72" s="144" t="s">
        <v>61</v>
      </c>
      <c r="C72" s="141"/>
      <c r="D72" s="141"/>
      <c r="E72" s="335"/>
      <c r="F72" s="141"/>
      <c r="H72" s="267"/>
      <c r="I72" s="83"/>
    </row>
    <row r="73" spans="1:11" x14ac:dyDescent="0.3">
      <c r="A73" s="246" t="s">
        <v>392</v>
      </c>
      <c r="B73" s="144" t="s">
        <v>62</v>
      </c>
      <c r="C73" s="141"/>
      <c r="D73" s="141"/>
      <c r="E73" s="335"/>
      <c r="F73" s="141"/>
      <c r="H73" s="267"/>
      <c r="I73" s="83"/>
    </row>
    <row r="74" spans="1:11" x14ac:dyDescent="0.3">
      <c r="A74" s="246" t="s">
        <v>393</v>
      </c>
      <c r="B74" s="144" t="s">
        <v>63</v>
      </c>
      <c r="C74" s="141"/>
      <c r="D74" s="141"/>
      <c r="E74" s="335"/>
      <c r="F74" s="141"/>
      <c r="H74" s="267" t="str">
        <f>IF($C$12=Konstantos!$A$91,
    IF(J74&lt;0,
        _xlfn.CONCAT("Klaida! Įvesta per didelė paramos sumą. Sumažinkite: ", J74, " Eur"),
        _xlfn.CONCAT("Paramos likutis etapo investicijų finansavimui: ", J74, " Eur")),
    IF($C$12=Konstantos!$A$93,
        IF(J74&gt;=0,
            _xlfn.CONCAT("Paramos likutis etapo investicijų finansavimui: ", J74, " Eur"),
            _xlfn.CONCAT("Klaida! Įvedėte per didelį paramos dydį: ", J74, " Eur")),
    IF($C$12=Konstantos!$A$92,
        IF(F69&lt;&gt;E74,
            _xlfn.CONCAT("Klaida! Įveskite etapo paramos sumą: ", F69, " Eur"),
            "ok"),
        "Klaida! Pasirinkite paramos išmokėjimo būdą!")))</f>
        <v>Klaida! Pasirinkite paramos išmokėjimo būdą!</v>
      </c>
      <c r="I74" s="84"/>
      <c r="J74" s="84" t="str">
        <f>IF(
    OR(
        $C$12 =
            Konstantos!$A$91,
        $C$12 = Konstantos!$A$93
    ),
    SUMIFS(
        $F$1:$F61,
        $B$1:$B61, "Paramos išmokėjimas*"
    ) + $C$14 -
        SUMIFS(
            $E$1:$E74,
            $B$1:$B74, "Paramos lėšos"
        ),
    IF(
        $C$12 =
            Konstantos!$A$92,
        $F69,
        "-"
    )
)</f>
        <v>-</v>
      </c>
      <c r="K74" s="86"/>
    </row>
    <row r="75" spans="1:11" ht="14.4" thickBot="1" x14ac:dyDescent="0.35">
      <c r="A75" s="243"/>
      <c r="B75" s="241" t="s">
        <v>70</v>
      </c>
      <c r="C75" s="242"/>
      <c r="D75" s="242"/>
      <c r="E75" s="383">
        <f>SUM(E71:E74)</f>
        <v>0</v>
      </c>
      <c r="F75" s="242"/>
      <c r="H75" s="267"/>
      <c r="I75" s="83"/>
    </row>
    <row r="76" spans="1:11" ht="14.4" thickTop="1" x14ac:dyDescent="0.3">
      <c r="A76" s="245" t="s">
        <v>380</v>
      </c>
      <c r="B76" s="238" t="s">
        <v>73</v>
      </c>
      <c r="C76" s="334"/>
      <c r="D76" s="238"/>
      <c r="E76" s="238"/>
      <c r="F76" s="238"/>
      <c r="H76" s="267" t="str">
        <f>IF(AND(C76="",D82&lt;&gt;0),"Klaida! Įveskite etapo paramos išmokėjimo prašymo pateikimo datą","ok")</f>
        <v>ok</v>
      </c>
      <c r="I76" s="83"/>
    </row>
    <row r="77" spans="1:11" x14ac:dyDescent="0.3">
      <c r="A77" s="246" t="s">
        <v>381</v>
      </c>
      <c r="B77" s="503"/>
      <c r="C77" s="504"/>
      <c r="D77" s="335"/>
      <c r="E77" s="335"/>
      <c r="F77" s="335"/>
      <c r="H77" s="267"/>
      <c r="I77" s="83"/>
    </row>
    <row r="78" spans="1:11" x14ac:dyDescent="0.3">
      <c r="A78" s="246" t="s">
        <v>382</v>
      </c>
      <c r="B78" s="503"/>
      <c r="C78" s="504"/>
      <c r="D78" s="335"/>
      <c r="E78" s="335"/>
      <c r="F78" s="335"/>
      <c r="H78" s="267"/>
      <c r="I78" s="83"/>
    </row>
    <row r="79" spans="1:11" x14ac:dyDescent="0.3">
      <c r="A79" s="246" t="s">
        <v>383</v>
      </c>
      <c r="B79" s="503"/>
      <c r="C79" s="504"/>
      <c r="D79" s="335"/>
      <c r="E79" s="335"/>
      <c r="F79" s="335"/>
      <c r="H79" s="267"/>
      <c r="I79" s="83"/>
    </row>
    <row r="80" spans="1:11" x14ac:dyDescent="0.3">
      <c r="A80" s="246" t="s">
        <v>384</v>
      </c>
      <c r="B80" s="503"/>
      <c r="C80" s="504"/>
      <c r="D80" s="335"/>
      <c r="E80" s="335"/>
      <c r="F80" s="335"/>
      <c r="H80" s="267"/>
      <c r="I80" s="83"/>
    </row>
    <row r="81" spans="1:11" x14ac:dyDescent="0.3">
      <c r="A81" s="246" t="s">
        <v>385</v>
      </c>
      <c r="B81" s="503"/>
      <c r="C81" s="504"/>
      <c r="D81" s="335"/>
      <c r="E81" s="335"/>
      <c r="F81" s="335"/>
      <c r="H81" s="267"/>
      <c r="I81" s="83"/>
    </row>
    <row r="82" spans="1:11" x14ac:dyDescent="0.3">
      <c r="A82" s="247"/>
      <c r="B82" s="139" t="s">
        <v>444</v>
      </c>
      <c r="C82" s="381" t="str">
        <f>IF(C76="","-",C76)</f>
        <v>-</v>
      </c>
      <c r="D82" s="382">
        <f>SUM(D77:D81)</f>
        <v>0</v>
      </c>
      <c r="E82" s="382">
        <f>SUM(E77:E81)</f>
        <v>0</v>
      </c>
      <c r="F82" s="248"/>
      <c r="H82" s="267"/>
      <c r="I82" s="83"/>
    </row>
    <row r="83" spans="1:11" ht="24" x14ac:dyDescent="0.3">
      <c r="A83" s="247"/>
      <c r="B83" s="140" t="s">
        <v>862</v>
      </c>
      <c r="C83" s="381" t="str">
        <f>IF(C76="","-",EOMONTH(C76,Parametrai!$C$17))</f>
        <v>-</v>
      </c>
      <c r="D83" s="141"/>
      <c r="E83" s="141"/>
      <c r="F83" s="382">
        <f>IF($C$14+SUMIFS($F$17:$F75,$B$17:$B75,"Paramos išmokėjimas*")+SUM(F77:F81)&lt;$C$11,SUM(F77:F81),IF($C$14+SUMIFS($F$17:$F75,$B$17:$B75,"Paramos išmokėjimas*")&lt;=$C$11,$C$11-$C$14-SUMIFS($F$17:$F75,$B$17:$B75,"Paramos išmokėjimas*"),0))</f>
        <v>0</v>
      </c>
      <c r="H83" s="267"/>
      <c r="I83" s="84" t="b">
        <f>OR(SUM(F77:F81)&gt;0)</f>
        <v>0</v>
      </c>
    </row>
    <row r="84" spans="1:11" x14ac:dyDescent="0.3">
      <c r="A84" s="247"/>
      <c r="B84" s="142" t="s">
        <v>336</v>
      </c>
      <c r="C84" s="141"/>
      <c r="D84" s="141"/>
      <c r="E84" s="141"/>
      <c r="F84" s="141"/>
      <c r="H84" s="267"/>
      <c r="I84" s="83"/>
    </row>
    <row r="85" spans="1:11" x14ac:dyDescent="0.3">
      <c r="A85" s="246" t="s">
        <v>394</v>
      </c>
      <c r="B85" s="144" t="s">
        <v>60</v>
      </c>
      <c r="C85" s="141"/>
      <c r="D85" s="141"/>
      <c r="E85" s="335"/>
      <c r="F85" s="141"/>
      <c r="H85" s="267"/>
      <c r="I85" s="83"/>
    </row>
    <row r="86" spans="1:11" x14ac:dyDescent="0.3">
      <c r="A86" s="246" t="s">
        <v>395</v>
      </c>
      <c r="B86" s="144" t="s">
        <v>61</v>
      </c>
      <c r="C86" s="141"/>
      <c r="D86" s="141"/>
      <c r="E86" s="335"/>
      <c r="F86" s="141"/>
      <c r="H86" s="267"/>
      <c r="I86" s="83"/>
    </row>
    <row r="87" spans="1:11" x14ac:dyDescent="0.3">
      <c r="A87" s="246" t="s">
        <v>396</v>
      </c>
      <c r="B87" s="144" t="s">
        <v>62</v>
      </c>
      <c r="C87" s="141"/>
      <c r="D87" s="141"/>
      <c r="E87" s="335"/>
      <c r="F87" s="141"/>
      <c r="H87" s="267"/>
      <c r="I87" s="83"/>
    </row>
    <row r="88" spans="1:11" x14ac:dyDescent="0.3">
      <c r="A88" s="246" t="s">
        <v>397</v>
      </c>
      <c r="B88" s="144" t="s">
        <v>63</v>
      </c>
      <c r="C88" s="141"/>
      <c r="D88" s="141"/>
      <c r="E88" s="335"/>
      <c r="F88" s="141"/>
      <c r="H88" s="267" t="str">
        <f>IF($C$12=Konstantos!$A$91,
    IF(J88&lt;0,
        _xlfn.CONCAT("Klaida! Įvesta per didelė paramos sumą. Sumažinkite: ", J88, " Eur"),
        _xlfn.CONCAT("Paramos likutis etapo investicijų finansavimui: ", J88, " Eur")),
    IF($C$12=Konstantos!$A$93,
        IF(J88&gt;=0,
            _xlfn.CONCAT("Paramos likutis etapo investicijų finansavimui: ", J88, " Eur"),
            _xlfn.CONCAT("Klaida! Įvedėte per didelį paramos dydį: ", J88, " Eur")),
    IF($C$12=Konstantos!$A$92,
        IF(F83&lt;&gt;E88,
            _xlfn.CONCAT("Klaida! Įveskite etapo paramos sumą: ", F83, " Eur"),
            "ok"),
        "Klaida! Pasirinkite paramos išmokėjimo būdą!")))</f>
        <v>Klaida! Pasirinkite paramos išmokėjimo būdą!</v>
      </c>
      <c r="I88" s="84"/>
      <c r="J88" s="84" t="str">
        <f>IF(
    OR(
        $C$12 =
            Konstantos!$A$91,
        $C$12 = Konstantos!$A$93
    ),
    SUMIFS(
        $F$1:$F75,
        $B$1:$B75, "Paramos išmokėjimas*"
    ) + $C$14 -
        SUMIFS(
            $E$1:$E88,
            $B$1:$B88, "Paramos lėšos"
        ),
    IF(
        $C$12 =
            Konstantos!$A$92,
        $F83,
        "-"
    )
)</f>
        <v>-</v>
      </c>
      <c r="K88" s="86"/>
    </row>
    <row r="89" spans="1:11" ht="14.4" thickBot="1" x14ac:dyDescent="0.35">
      <c r="A89" s="243"/>
      <c r="B89" s="241" t="s">
        <v>70</v>
      </c>
      <c r="C89" s="242"/>
      <c r="D89" s="242"/>
      <c r="E89" s="383">
        <f>SUM(E85:E88)</f>
        <v>0</v>
      </c>
      <c r="F89" s="242"/>
      <c r="H89" s="267"/>
      <c r="I89" s="83"/>
    </row>
    <row r="90" spans="1:11" ht="14.4" thickTop="1" x14ac:dyDescent="0.3"/>
  </sheetData>
  <sheetProtection algorithmName="SHA-512" hashValue="QJb2hOf9czYVm+4gyUvHFzhiqVmQD/gkS16fzs3LwVLgsr3ci25YehMHGlH6MADxaQqMbHkabZhL+NY+j5L7jg==" saltValue="+/4itRLtmk2k3c91ZmrJfw==" spinCount="100000" sheet="1" objects="1" scenarios="1" formatRows="0" insertRows="0"/>
  <mergeCells count="27">
    <mergeCell ref="B35:C35"/>
    <mergeCell ref="B36:C36"/>
    <mergeCell ref="B37:C37"/>
    <mergeCell ref="B38:C38"/>
    <mergeCell ref="B39:C39"/>
    <mergeCell ref="B24:C24"/>
    <mergeCell ref="B25:C25"/>
    <mergeCell ref="B1:D1"/>
    <mergeCell ref="B17:F17"/>
    <mergeCell ref="B21:C21"/>
    <mergeCell ref="B22:C22"/>
    <mergeCell ref="B23:C23"/>
    <mergeCell ref="B49:C49"/>
    <mergeCell ref="B50:C50"/>
    <mergeCell ref="B51:C51"/>
    <mergeCell ref="B52:C52"/>
    <mergeCell ref="B53:C53"/>
    <mergeCell ref="B63:C63"/>
    <mergeCell ref="B64:C64"/>
    <mergeCell ref="B65:C65"/>
    <mergeCell ref="B66:C66"/>
    <mergeCell ref="B67:C67"/>
    <mergeCell ref="B77:C77"/>
    <mergeCell ref="B78:C78"/>
    <mergeCell ref="B79:C79"/>
    <mergeCell ref="B80:C80"/>
    <mergeCell ref="B81:C81"/>
  </mergeCells>
  <phoneticPr fontId="12" type="noConversion"/>
  <conditionalFormatting sqref="C8">
    <cfRule type="expression" dxfId="85" priority="28">
      <formula>$C$8&gt;$C$11</formula>
    </cfRule>
  </conditionalFormatting>
  <conditionalFormatting sqref="C9:C10">
    <cfRule type="expression" dxfId="84" priority="104">
      <formula>$C$10&lt;&gt;$C$9</formula>
    </cfRule>
  </conditionalFormatting>
  <conditionalFormatting sqref="C20">
    <cfRule type="expression" dxfId="83" priority="6">
      <formula>AND(C20="",D26&lt;&gt;0)</formula>
    </cfRule>
  </conditionalFormatting>
  <conditionalFormatting sqref="C34">
    <cfRule type="expression" dxfId="82" priority="8">
      <formula>AND(C34="",D40&lt;&gt;0)</formula>
    </cfRule>
  </conditionalFormatting>
  <conditionalFormatting sqref="C48">
    <cfRule type="expression" dxfId="81" priority="10">
      <formula>AND(C48="",D54&lt;&gt;0)</formula>
    </cfRule>
  </conditionalFormatting>
  <conditionalFormatting sqref="C62">
    <cfRule type="expression" dxfId="80" priority="12">
      <formula>AND(C62="",D68&lt;&gt;0)</formula>
    </cfRule>
  </conditionalFormatting>
  <conditionalFormatting sqref="C76">
    <cfRule type="expression" dxfId="79" priority="15">
      <formula>AND(C76="",D82&lt;&gt;0)</formula>
    </cfRule>
  </conditionalFormatting>
  <conditionalFormatting sqref="D11">
    <cfRule type="expression" dxfId="78" priority="67">
      <formula>$C$11&lt;&gt;$D$11</formula>
    </cfRule>
  </conditionalFormatting>
  <conditionalFormatting sqref="E33">
    <cfRule type="expression" dxfId="77" priority="29">
      <formula>E33&lt;&gt;E26</formula>
    </cfRule>
  </conditionalFormatting>
  <conditionalFormatting sqref="E47">
    <cfRule type="expression" dxfId="76" priority="30">
      <formula>E47&lt;&gt;E40</formula>
    </cfRule>
  </conditionalFormatting>
  <conditionalFormatting sqref="E61">
    <cfRule type="expression" dxfId="75" priority="31">
      <formula>E61&lt;&gt;E54</formula>
    </cfRule>
  </conditionalFormatting>
  <conditionalFormatting sqref="E75">
    <cfRule type="expression" dxfId="74" priority="106">
      <formula>E75&lt;&gt;E68</formula>
    </cfRule>
  </conditionalFormatting>
  <conditionalFormatting sqref="E89">
    <cfRule type="expression" dxfId="73" priority="32">
      <formula>E89&lt;&gt;E82</formula>
    </cfRule>
  </conditionalFormatting>
  <conditionalFormatting sqref="F19">
    <cfRule type="expression" dxfId="72" priority="27">
      <formula>$F$19&gt;$C$11</formula>
    </cfRule>
  </conditionalFormatting>
  <conditionalFormatting sqref="H12:H13">
    <cfRule type="expression" dxfId="71" priority="101">
      <formula>H12&lt;&gt;"ok"</formula>
    </cfRule>
  </conditionalFormatting>
  <conditionalFormatting sqref="H15">
    <cfRule type="expression" dxfId="70" priority="102">
      <formula>H15&lt;&gt;"ok"</formula>
    </cfRule>
  </conditionalFormatting>
  <conditionalFormatting sqref="H20">
    <cfRule type="expression" dxfId="69" priority="5">
      <formula>ISNUMBER(SEARCH("Klaida", H20))</formula>
    </cfRule>
  </conditionalFormatting>
  <conditionalFormatting sqref="H32">
    <cfRule type="expression" dxfId="68" priority="62">
      <formula>ISNUMBER(SEARCH("Klaida", H32))</formula>
    </cfRule>
  </conditionalFormatting>
  <conditionalFormatting sqref="H34">
    <cfRule type="expression" dxfId="67" priority="7">
      <formula>ISNUMBER(SEARCH("Klaida", H34))</formula>
    </cfRule>
  </conditionalFormatting>
  <conditionalFormatting sqref="H46">
    <cfRule type="expression" dxfId="66" priority="4">
      <formula>ISNUMBER(SEARCH("Klaida", H46))</formula>
    </cfRule>
  </conditionalFormatting>
  <conditionalFormatting sqref="H48">
    <cfRule type="expression" dxfId="65" priority="9">
      <formula>ISNUMBER(SEARCH("Klaida", H48))</formula>
    </cfRule>
  </conditionalFormatting>
  <conditionalFormatting sqref="H60">
    <cfRule type="expression" dxfId="64" priority="3">
      <formula>ISNUMBER(SEARCH("Klaida", H60))</formula>
    </cfRule>
  </conditionalFormatting>
  <conditionalFormatting sqref="H62">
    <cfRule type="expression" dxfId="63" priority="11">
      <formula>ISNUMBER(SEARCH("Klaida", H62))</formula>
    </cfRule>
  </conditionalFormatting>
  <conditionalFormatting sqref="H74">
    <cfRule type="expression" dxfId="62" priority="2">
      <formula>ISNUMBER(SEARCH("Klaida", H74))</formula>
    </cfRule>
  </conditionalFormatting>
  <conditionalFormatting sqref="H76">
    <cfRule type="expression" dxfId="61" priority="13">
      <formula>ISNUMBER(SEARCH("Klaida", H76))</formula>
    </cfRule>
  </conditionalFormatting>
  <conditionalFormatting sqref="H88">
    <cfRule type="expression" dxfId="60" priority="1">
      <formula>ISNUMBER(SEARCH("Klaida", H88))</formula>
    </cfRule>
  </conditionalFormatting>
  <dataValidations count="1">
    <dataValidation type="list" allowBlank="1" showInputMessage="1" showErrorMessage="1" error="Pasirinkite paramos išmokėjimo būdą iš sąrašo" sqref="C12" xr:uid="{090C3EF3-0017-4DAE-83B5-5334A2680A32}">
      <formula1>Meniu_ParamosIšmokėjimoBūdai</formula1>
    </dataValidation>
  </dataValidations>
  <pageMargins left="0.70866141732283472" right="0.70866141732283472" top="0.74803149606299213" bottom="0.74803149606299213" header="0.31496062992125984" footer="0.31496062992125984"/>
  <pageSetup paperSize="9" pageOrder="overThenDown" orientation="landscape" blackAndWhite="1" horizontalDpi="4294967293" verticalDpi="4294967293" r:id="rId1"/>
  <extLst>
    <ext xmlns:x14="http://schemas.microsoft.com/office/spreadsheetml/2009/9/main" uri="{CCE6A557-97BC-4b89-ADB6-D9C93CAAB3DF}">
      <x14:dataValidations xmlns:xm="http://schemas.microsoft.com/office/excel/2006/main" count="1">
        <x14:dataValidation type="custom" allowBlank="1" showInputMessage="1" showErrorMessage="1" error="Ar pasirinkote &quot;Kompensavimo su avansu&quot; paramos išmokėjimo būdą? Jei pasirinkote &quot;Kompensavimo su avansu&quot; paramos išmokėjimo būdą,  atkreikite dėmesį kad avanso dydis turi būti ne didesnis kaip nustatytas taisyklėse." prompt="Jei pasirinkote &quot;Kompensavimo su avansu&quot; paramos išmokėjimo būdą,  atkreikite dėmesį kad avanso dydis turi būti ne didesnis kaip nustatytas taisyklėse." xr:uid="{F1144955-4478-4ACF-964D-5B89C3B0D745}">
          <x14:formula1>
            <xm:f>IF(AND(B13&lt;&gt;"",C13&gt;0,C13&lt;=Parametrai!$C$27),TRUE,FALSE)</xm:f>
          </x14:formula1>
          <xm:sqref>C13</xm:sqref>
        </x14:dataValidation>
      </x14:dataValidations>
    </ext>
  </extLs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Lapas9">
    <tabColor theme="9" tint="-0.249977111117893"/>
  </sheetPr>
  <dimension ref="A1:R70"/>
  <sheetViews>
    <sheetView topLeftCell="B1" zoomScale="130" zoomScaleNormal="130" workbookViewId="0">
      <pane xSplit="2" ySplit="4" topLeftCell="D57" activePane="bottomRight" state="frozen"/>
      <selection activeCell="B1" sqref="B1"/>
      <selection pane="topRight" activeCell="D1" sqref="D1"/>
      <selection pane="bottomLeft" activeCell="B5" sqref="B5"/>
      <selection pane="bottomRight" activeCell="E69" sqref="E69"/>
    </sheetView>
  </sheetViews>
  <sheetFormatPr defaultColWidth="8.6640625" defaultRowHeight="13.8" x14ac:dyDescent="0.3"/>
  <cols>
    <col min="1" max="1" width="2.6640625" style="11" hidden="1" customWidth="1"/>
    <col min="2" max="2" width="6.33203125" style="11" customWidth="1"/>
    <col min="3" max="3" width="33.6640625" style="11" customWidth="1"/>
    <col min="4" max="12" width="10" style="11" customWidth="1"/>
    <col min="13" max="13" width="5.33203125" style="10" customWidth="1"/>
    <col min="14" max="14" width="52.6640625" style="11" customWidth="1"/>
    <col min="15" max="16384" width="8.6640625" style="11"/>
  </cols>
  <sheetData>
    <row r="1" spans="1:18" s="7" customFormat="1" ht="12" customHeight="1" x14ac:dyDescent="0.3">
      <c r="B1" s="145" t="s">
        <v>20</v>
      </c>
      <c r="C1" s="507" t="s">
        <v>543</v>
      </c>
      <c r="D1" s="507"/>
      <c r="E1" s="507"/>
      <c r="F1" s="507"/>
      <c r="G1" s="507"/>
      <c r="H1" s="507"/>
      <c r="I1" s="507"/>
      <c r="J1" s="507"/>
      <c r="K1" s="507"/>
      <c r="L1" s="507"/>
      <c r="M1" s="6"/>
      <c r="N1" s="299" t="s">
        <v>224</v>
      </c>
    </row>
    <row r="2" spans="1:18" ht="10.65" customHeight="1" x14ac:dyDescent="0.3">
      <c r="B2" s="20"/>
      <c r="C2" s="43" t="s">
        <v>433</v>
      </c>
      <c r="D2" s="370">
        <f>D62-SUMIFS('5'!$D:$D,'5'!$C:$C,"&gt;="&amp;DATE('6'!D$4,1,1),'5'!$C:$C,"&lt;="&amp;DATE('6'!D$4,12,31))</f>
        <v>0</v>
      </c>
      <c r="E2" s="369">
        <f>E62-SUMIFS('5'!$D:$D,'5'!$C:$C,"&gt;="&amp;DATE('6'!E$4,1,1),'5'!$C:$C,"&lt;="&amp;DATE('6'!E$4,12,31))</f>
        <v>0</v>
      </c>
      <c r="F2" s="369"/>
      <c r="G2" s="369"/>
      <c r="H2" s="369"/>
      <c r="I2" s="369"/>
      <c r="J2" s="402"/>
      <c r="K2" s="403"/>
      <c r="L2" s="369"/>
      <c r="N2" s="267" t="str">
        <f>IF(COUNTIFS($D$2:$L$2,"&lt;0")&gt;0,"Klaida! Tikrinkite, investicijų suma įvesta 5 skyriuje yra didesnė už įsigijimus šiame skyriuje","ok")</f>
        <v>ok</v>
      </c>
    </row>
    <row r="3" spans="1:18" s="26" customFormat="1" ht="21.45" customHeight="1" x14ac:dyDescent="0.3">
      <c r="A3" s="227"/>
      <c r="B3" s="466" t="s">
        <v>21</v>
      </c>
      <c r="C3" s="500" t="s">
        <v>43</v>
      </c>
      <c r="D3" s="126" t="str">
        <f>IF(AND('1'!$C$22="Verslo pradžia",YEAR('1'!$E$22)=YEAR('1'!$C$11)),"Pradžios metai","Ataskaitiniai metai")</f>
        <v>Ataskaitiniai metai</v>
      </c>
      <c r="E3" s="470" t="s">
        <v>11</v>
      </c>
      <c r="F3" s="471"/>
      <c r="G3" s="471"/>
      <c r="H3" s="471"/>
      <c r="I3" s="471"/>
      <c r="J3" s="471"/>
      <c r="K3" s="471"/>
      <c r="L3" s="471"/>
      <c r="M3" s="25"/>
      <c r="N3" s="267" t="str">
        <f>IF(COUNTIFS($D$2:$L$2,"&gt;0")&gt;0,"Dėmesio! Įsitikinkite, ar tikrai investicijų suma įvesta 5 skyriuje turi būti mažesnė už įsigijimų vertę šiame skyriuje","ok")</f>
        <v>ok</v>
      </c>
    </row>
    <row r="4" spans="1:18" s="26" customFormat="1" ht="12.75" customHeight="1" thickBot="1" x14ac:dyDescent="0.35">
      <c r="A4" s="228"/>
      <c r="B4" s="467"/>
      <c r="C4" s="501"/>
      <c r="D4" s="364">
        <f>IF(D3="Pradžios metai",YEAR('1'!$E$22),IF((YEAR('1'!$C$11)-1)+COUNT($C4:C4)&gt;YEAR('1'!$C$18)+Parametrai!$C$15,"-",(YEAR('1'!$C$11)-1)+COUNT($C4:C4)))</f>
        <v>1899</v>
      </c>
      <c r="E4" s="364">
        <f>IF(E3="Pradžios metai",YEAR('1'!$E$22),IF((YEAR('1'!$C$11)-1)+COUNT($C4:D4)&gt;YEAR('1'!$C$18)+Parametrai!$C$15,"-",(YEAR('1'!$C$11)-1)+COUNT($C4:D4)))</f>
        <v>1900</v>
      </c>
      <c r="F4" s="364">
        <f>IF(F3="Pradžios metai",YEAR('1'!$E$22),IF((YEAR('1'!$C$11)-1)+COUNT($C4:E4)&gt;YEAR('1'!$C$18)+Parametrai!$C$15,"-",(YEAR('1'!$C$11)-1)+COUNT($C4:E4)))</f>
        <v>1901</v>
      </c>
      <c r="G4" s="364">
        <f>IF(G3="Pradžios metai",YEAR('1'!$E$22),IF((YEAR('1'!$C$11)-1)+COUNT($C4:F4)&gt;YEAR('1'!$C$18)+Parametrai!$C$15,"-",(YEAR('1'!$C$11)-1)+COUNT($C4:F4)))</f>
        <v>1902</v>
      </c>
      <c r="H4" s="364">
        <f>IF(H3="Pradžios metai",YEAR('1'!$E$22),IF((YEAR('1'!$C$11)-1)+COUNT($C4:G4)&gt;YEAR('1'!$C$18)+Parametrai!$C$15,"-",(YEAR('1'!$C$11)-1)+COUNT($C4:G4)))</f>
        <v>1903</v>
      </c>
      <c r="I4" s="364" t="str">
        <f>IF(I3="Pradžios metai",YEAR('1'!$E$22),IF((YEAR('1'!$C$11)-1)+COUNT($C4:H4)&gt;YEAR('1'!$C$18)+Parametrai!$C$15,"-",(YEAR('1'!$C$11)-1)+COUNT($C4:H4)))</f>
        <v>-</v>
      </c>
      <c r="J4" s="364" t="str">
        <f>IF(J3="Pradžios metai",YEAR('1'!$E$22),IF((YEAR('1'!$C$11)-1)+COUNT($C4:I4)&gt;YEAR('1'!$C$18)+Parametrai!$C$15,"-",(YEAR('1'!$C$11)-1)+COUNT($C4:I4)))</f>
        <v>-</v>
      </c>
      <c r="K4" s="364" t="str">
        <f>IF(K3="Pradžios metai",YEAR('1'!$E$22),IF((YEAR('1'!$C$11)-1)+COUNT($C4:J4)&gt;YEAR('1'!$C$18)+Parametrai!$C$15,"-",(YEAR('1'!$C$11)-1)+COUNT($C4:J4)))</f>
        <v>-</v>
      </c>
      <c r="L4" s="364" t="str">
        <f>IF(L3="Pradžios metai",YEAR('1'!$E$22),IF((YEAR('1'!$C$11)-1)+COUNT($C4:K4)&gt;YEAR('1'!$C$18)+Parametrai!$C$15,"-",(YEAR('1'!$C$11)-1)+COUNT($C4:K4)))</f>
        <v>-</v>
      </c>
      <c r="M4" s="25"/>
      <c r="N4" s="300"/>
    </row>
    <row r="5" spans="1:18" ht="14.4" thickTop="1" x14ac:dyDescent="0.3">
      <c r="B5" s="146" t="s">
        <v>452</v>
      </c>
      <c r="C5" s="147" t="s">
        <v>96</v>
      </c>
      <c r="D5" s="205"/>
      <c r="E5" s="205"/>
      <c r="F5" s="205"/>
      <c r="G5" s="205"/>
      <c r="H5" s="205"/>
      <c r="I5" s="205"/>
      <c r="J5" s="205"/>
      <c r="K5" s="205"/>
      <c r="L5" s="205"/>
      <c r="M5" s="16"/>
      <c r="N5" s="300" t="s">
        <v>331</v>
      </c>
    </row>
    <row r="6" spans="1:18" x14ac:dyDescent="0.3">
      <c r="B6" s="27" t="s">
        <v>453</v>
      </c>
      <c r="C6" s="28" t="s">
        <v>44</v>
      </c>
      <c r="D6" s="336"/>
      <c r="E6" s="384">
        <f>D9</f>
        <v>0</v>
      </c>
      <c r="F6" s="384">
        <f t="shared" ref="F6:L6" si="0">E9</f>
        <v>0</v>
      </c>
      <c r="G6" s="384">
        <f t="shared" si="0"/>
        <v>0</v>
      </c>
      <c r="H6" s="384">
        <f t="shared" si="0"/>
        <v>0</v>
      </c>
      <c r="I6" s="384">
        <f t="shared" si="0"/>
        <v>0</v>
      </c>
      <c r="J6" s="384">
        <f t="shared" si="0"/>
        <v>0</v>
      </c>
      <c r="K6" s="384">
        <f t="shared" si="0"/>
        <v>0</v>
      </c>
      <c r="L6" s="384">
        <f t="shared" si="0"/>
        <v>0</v>
      </c>
      <c r="N6" s="300"/>
      <c r="R6" s="15"/>
    </row>
    <row r="7" spans="1:18" x14ac:dyDescent="0.3">
      <c r="B7" s="27" t="s">
        <v>454</v>
      </c>
      <c r="C7" s="28" t="s">
        <v>45</v>
      </c>
      <c r="D7" s="336"/>
      <c r="E7" s="336"/>
      <c r="F7" s="336"/>
      <c r="G7" s="336"/>
      <c r="H7" s="336"/>
      <c r="I7" s="336"/>
      <c r="J7" s="336"/>
      <c r="K7" s="336"/>
      <c r="L7" s="336"/>
      <c r="N7" s="300"/>
    </row>
    <row r="8" spans="1:18" x14ac:dyDescent="0.3">
      <c r="B8" s="27" t="s">
        <v>455</v>
      </c>
      <c r="C8" s="28" t="s">
        <v>46</v>
      </c>
      <c r="D8" s="336"/>
      <c r="E8" s="336"/>
      <c r="F8" s="336"/>
      <c r="G8" s="336"/>
      <c r="H8" s="336"/>
      <c r="I8" s="336"/>
      <c r="J8" s="336"/>
      <c r="K8" s="336"/>
      <c r="L8" s="336"/>
      <c r="N8" s="300"/>
    </row>
    <row r="9" spans="1:18" x14ac:dyDescent="0.3">
      <c r="B9" s="27" t="s">
        <v>456</v>
      </c>
      <c r="C9" s="206" t="s">
        <v>54</v>
      </c>
      <c r="D9" s="385">
        <f>SUM(D6,D7)-D8</f>
        <v>0</v>
      </c>
      <c r="E9" s="385">
        <f>SUM(E6,E7)-E8</f>
        <v>0</v>
      </c>
      <c r="F9" s="385">
        <f t="shared" ref="F9:L9" si="1">SUM(F6,F7)-F8</f>
        <v>0</v>
      </c>
      <c r="G9" s="385">
        <f t="shared" si="1"/>
        <v>0</v>
      </c>
      <c r="H9" s="385">
        <f t="shared" si="1"/>
        <v>0</v>
      </c>
      <c r="I9" s="385">
        <f t="shared" si="1"/>
        <v>0</v>
      </c>
      <c r="J9" s="385">
        <f t="shared" si="1"/>
        <v>0</v>
      </c>
      <c r="K9" s="385">
        <f t="shared" si="1"/>
        <v>0</v>
      </c>
      <c r="L9" s="385">
        <f t="shared" si="1"/>
        <v>0</v>
      </c>
      <c r="N9" s="300"/>
    </row>
    <row r="10" spans="1:18" x14ac:dyDescent="0.3">
      <c r="B10" s="148" t="s">
        <v>451</v>
      </c>
      <c r="C10" s="149" t="s">
        <v>38</v>
      </c>
      <c r="D10" s="192"/>
      <c r="E10" s="192"/>
      <c r="F10" s="192"/>
      <c r="G10" s="192"/>
      <c r="H10" s="192"/>
      <c r="I10" s="192"/>
      <c r="J10" s="192"/>
      <c r="K10" s="192"/>
      <c r="L10" s="192"/>
      <c r="N10" s="267" t="s">
        <v>332</v>
      </c>
    </row>
    <row r="11" spans="1:18" x14ac:dyDescent="0.3">
      <c r="B11" s="27" t="s">
        <v>457</v>
      </c>
      <c r="C11" s="29" t="s">
        <v>47</v>
      </c>
      <c r="D11" s="336"/>
      <c r="E11" s="384">
        <f>D14</f>
        <v>0</v>
      </c>
      <c r="F11" s="384">
        <f t="shared" ref="F11:L11" si="2">E14</f>
        <v>0</v>
      </c>
      <c r="G11" s="384">
        <f t="shared" si="2"/>
        <v>0</v>
      </c>
      <c r="H11" s="384">
        <f t="shared" si="2"/>
        <v>0</v>
      </c>
      <c r="I11" s="384">
        <f t="shared" si="2"/>
        <v>0</v>
      </c>
      <c r="J11" s="384">
        <f t="shared" si="2"/>
        <v>0</v>
      </c>
      <c r="K11" s="384">
        <f t="shared" si="2"/>
        <v>0</v>
      </c>
      <c r="L11" s="384">
        <f t="shared" si="2"/>
        <v>0</v>
      </c>
      <c r="N11" s="300"/>
    </row>
    <row r="12" spans="1:18" x14ac:dyDescent="0.3">
      <c r="B12" s="27" t="s">
        <v>458</v>
      </c>
      <c r="C12" s="30" t="s">
        <v>45</v>
      </c>
      <c r="D12" s="336"/>
      <c r="E12" s="336"/>
      <c r="F12" s="336"/>
      <c r="G12" s="336"/>
      <c r="H12" s="336"/>
      <c r="I12" s="336"/>
      <c r="J12" s="336"/>
      <c r="K12" s="336"/>
      <c r="L12" s="336"/>
      <c r="N12" s="300"/>
      <c r="Q12" s="15"/>
    </row>
    <row r="13" spans="1:18" x14ac:dyDescent="0.3">
      <c r="B13" s="27" t="s">
        <v>459</v>
      </c>
      <c r="C13" s="30" t="s">
        <v>48</v>
      </c>
      <c r="D13" s="336"/>
      <c r="E13" s="336"/>
      <c r="F13" s="336"/>
      <c r="G13" s="336"/>
      <c r="H13" s="336"/>
      <c r="I13" s="336"/>
      <c r="J13" s="336"/>
      <c r="K13" s="336"/>
      <c r="L13" s="336"/>
      <c r="N13" s="300"/>
    </row>
    <row r="14" spans="1:18" x14ac:dyDescent="0.3">
      <c r="B14" s="27" t="s">
        <v>460</v>
      </c>
      <c r="C14" s="29" t="s">
        <v>49</v>
      </c>
      <c r="D14" s="384">
        <f t="shared" ref="D14:L14" si="3">+D11+D12-D13</f>
        <v>0</v>
      </c>
      <c r="E14" s="384">
        <f t="shared" si="3"/>
        <v>0</v>
      </c>
      <c r="F14" s="384">
        <f t="shared" si="3"/>
        <v>0</v>
      </c>
      <c r="G14" s="384">
        <f t="shared" si="3"/>
        <v>0</v>
      </c>
      <c r="H14" s="384">
        <f t="shared" si="3"/>
        <v>0</v>
      </c>
      <c r="I14" s="384">
        <f t="shared" si="3"/>
        <v>0</v>
      </c>
      <c r="J14" s="384">
        <f t="shared" si="3"/>
        <v>0</v>
      </c>
      <c r="K14" s="384">
        <f t="shared" si="3"/>
        <v>0</v>
      </c>
      <c r="L14" s="384">
        <f t="shared" si="3"/>
        <v>0</v>
      </c>
      <c r="N14" s="300"/>
    </row>
    <row r="15" spans="1:18" x14ac:dyDescent="0.3">
      <c r="B15" s="27" t="s">
        <v>461</v>
      </c>
      <c r="C15" s="29" t="s">
        <v>50</v>
      </c>
      <c r="D15" s="336"/>
      <c r="E15" s="384">
        <f>+D18</f>
        <v>0</v>
      </c>
      <c r="F15" s="384">
        <f t="shared" ref="F15:L15" si="4">+E18</f>
        <v>0</v>
      </c>
      <c r="G15" s="384">
        <f t="shared" si="4"/>
        <v>0</v>
      </c>
      <c r="H15" s="384">
        <f t="shared" si="4"/>
        <v>0</v>
      </c>
      <c r="I15" s="384">
        <f t="shared" si="4"/>
        <v>0</v>
      </c>
      <c r="J15" s="384">
        <f t="shared" si="4"/>
        <v>0</v>
      </c>
      <c r="K15" s="384">
        <f t="shared" si="4"/>
        <v>0</v>
      </c>
      <c r="L15" s="384">
        <f t="shared" si="4"/>
        <v>0</v>
      </c>
      <c r="N15" s="300"/>
    </row>
    <row r="16" spans="1:18" x14ac:dyDescent="0.3">
      <c r="B16" s="27" t="s">
        <v>462</v>
      </c>
      <c r="C16" s="30" t="s">
        <v>51</v>
      </c>
      <c r="D16" s="336"/>
      <c r="E16" s="336"/>
      <c r="F16" s="336"/>
      <c r="G16" s="336"/>
      <c r="H16" s="336"/>
      <c r="I16" s="336"/>
      <c r="J16" s="336"/>
      <c r="K16" s="336"/>
      <c r="L16" s="336"/>
      <c r="N16" s="300"/>
    </row>
    <row r="17" spans="2:14" x14ac:dyDescent="0.3">
      <c r="B17" s="27" t="s">
        <v>463</v>
      </c>
      <c r="C17" s="30" t="s">
        <v>52</v>
      </c>
      <c r="D17" s="336"/>
      <c r="E17" s="336"/>
      <c r="F17" s="336"/>
      <c r="G17" s="336"/>
      <c r="H17" s="336"/>
      <c r="I17" s="336"/>
      <c r="J17" s="336"/>
      <c r="K17" s="336"/>
      <c r="L17" s="336"/>
      <c r="N17" s="300"/>
    </row>
    <row r="18" spans="2:14" x14ac:dyDescent="0.3">
      <c r="B18" s="27" t="s">
        <v>464</v>
      </c>
      <c r="C18" s="29" t="s">
        <v>53</v>
      </c>
      <c r="D18" s="384">
        <f>SUM(D15:D17)</f>
        <v>0</v>
      </c>
      <c r="E18" s="384">
        <f t="shared" ref="E18:L18" si="5">SUM(E15:E17)</f>
        <v>0</v>
      </c>
      <c r="F18" s="384">
        <f t="shared" si="5"/>
        <v>0</v>
      </c>
      <c r="G18" s="384">
        <f t="shared" si="5"/>
        <v>0</v>
      </c>
      <c r="H18" s="384">
        <f t="shared" si="5"/>
        <v>0</v>
      </c>
      <c r="I18" s="384">
        <f t="shared" si="5"/>
        <v>0</v>
      </c>
      <c r="J18" s="384">
        <f t="shared" si="5"/>
        <v>0</v>
      </c>
      <c r="K18" s="384">
        <f t="shared" si="5"/>
        <v>0</v>
      </c>
      <c r="L18" s="384">
        <f t="shared" si="5"/>
        <v>0</v>
      </c>
      <c r="N18" s="300"/>
    </row>
    <row r="19" spans="2:14" x14ac:dyDescent="0.3">
      <c r="B19" s="27" t="s">
        <v>465</v>
      </c>
      <c r="C19" s="31" t="s">
        <v>54</v>
      </c>
      <c r="D19" s="384">
        <f>+D14-D18</f>
        <v>0</v>
      </c>
      <c r="E19" s="384">
        <f t="shared" ref="E19:L19" si="6">+E14-E18</f>
        <v>0</v>
      </c>
      <c r="F19" s="384">
        <f t="shared" si="6"/>
        <v>0</v>
      </c>
      <c r="G19" s="384">
        <f t="shared" si="6"/>
        <v>0</v>
      </c>
      <c r="H19" s="384">
        <f t="shared" si="6"/>
        <v>0</v>
      </c>
      <c r="I19" s="384">
        <f t="shared" si="6"/>
        <v>0</v>
      </c>
      <c r="J19" s="384">
        <f t="shared" si="6"/>
        <v>0</v>
      </c>
      <c r="K19" s="384">
        <f t="shared" si="6"/>
        <v>0</v>
      </c>
      <c r="L19" s="384">
        <f t="shared" si="6"/>
        <v>0</v>
      </c>
      <c r="N19" s="300"/>
    </row>
    <row r="20" spans="2:14" x14ac:dyDescent="0.3">
      <c r="B20" s="148" t="s">
        <v>466</v>
      </c>
      <c r="C20" s="150" t="s">
        <v>55</v>
      </c>
      <c r="D20" s="192"/>
      <c r="E20" s="192"/>
      <c r="F20" s="192"/>
      <c r="G20" s="192"/>
      <c r="H20" s="192"/>
      <c r="I20" s="192"/>
      <c r="J20" s="192"/>
      <c r="K20" s="192"/>
      <c r="L20" s="192"/>
      <c r="N20" s="300"/>
    </row>
    <row r="21" spans="2:14" x14ac:dyDescent="0.3">
      <c r="B21" s="27" t="s">
        <v>457</v>
      </c>
      <c r="C21" s="29" t="s">
        <v>47</v>
      </c>
      <c r="D21" s="336"/>
      <c r="E21" s="384">
        <f>D24</f>
        <v>0</v>
      </c>
      <c r="F21" s="384">
        <f t="shared" ref="F21:L21" si="7">E24</f>
        <v>0</v>
      </c>
      <c r="G21" s="384">
        <f t="shared" si="7"/>
        <v>0</v>
      </c>
      <c r="H21" s="384">
        <f t="shared" si="7"/>
        <v>0</v>
      </c>
      <c r="I21" s="384">
        <f t="shared" si="7"/>
        <v>0</v>
      </c>
      <c r="J21" s="384">
        <f t="shared" si="7"/>
        <v>0</v>
      </c>
      <c r="K21" s="384">
        <f t="shared" si="7"/>
        <v>0</v>
      </c>
      <c r="L21" s="384">
        <f t="shared" si="7"/>
        <v>0</v>
      </c>
      <c r="N21" s="300"/>
    </row>
    <row r="22" spans="2:14" x14ac:dyDescent="0.3">
      <c r="B22" s="27" t="s">
        <v>458</v>
      </c>
      <c r="C22" s="30" t="s">
        <v>45</v>
      </c>
      <c r="D22" s="336"/>
      <c r="E22" s="336"/>
      <c r="F22" s="336"/>
      <c r="G22" s="336"/>
      <c r="H22" s="336"/>
      <c r="I22" s="336"/>
      <c r="J22" s="336"/>
      <c r="K22" s="336"/>
      <c r="L22" s="336"/>
      <c r="N22" s="300"/>
    </row>
    <row r="23" spans="2:14" x14ac:dyDescent="0.3">
      <c r="B23" s="27" t="s">
        <v>459</v>
      </c>
      <c r="C23" s="30" t="s">
        <v>48</v>
      </c>
      <c r="D23" s="336"/>
      <c r="E23" s="336"/>
      <c r="F23" s="336"/>
      <c r="G23" s="336"/>
      <c r="H23" s="336"/>
      <c r="I23" s="336"/>
      <c r="J23" s="336"/>
      <c r="K23" s="336"/>
      <c r="L23" s="336"/>
      <c r="N23" s="300"/>
    </row>
    <row r="24" spans="2:14" x14ac:dyDescent="0.3">
      <c r="B24" s="27" t="s">
        <v>460</v>
      </c>
      <c r="C24" s="29" t="s">
        <v>49</v>
      </c>
      <c r="D24" s="384">
        <f>+D21+D22-D23</f>
        <v>0</v>
      </c>
      <c r="E24" s="384">
        <f t="shared" ref="E24:L24" si="8">+E21+E22-E23</f>
        <v>0</v>
      </c>
      <c r="F24" s="384">
        <f t="shared" si="8"/>
        <v>0</v>
      </c>
      <c r="G24" s="384">
        <f t="shared" si="8"/>
        <v>0</v>
      </c>
      <c r="H24" s="384">
        <f t="shared" si="8"/>
        <v>0</v>
      </c>
      <c r="I24" s="384">
        <f t="shared" si="8"/>
        <v>0</v>
      </c>
      <c r="J24" s="384">
        <f t="shared" si="8"/>
        <v>0</v>
      </c>
      <c r="K24" s="384">
        <f t="shared" si="8"/>
        <v>0</v>
      </c>
      <c r="L24" s="384">
        <f t="shared" si="8"/>
        <v>0</v>
      </c>
      <c r="N24" s="300"/>
    </row>
    <row r="25" spans="2:14" x14ac:dyDescent="0.3">
      <c r="B25" s="27" t="s">
        <v>461</v>
      </c>
      <c r="C25" s="29" t="s">
        <v>50</v>
      </c>
      <c r="D25" s="336"/>
      <c r="E25" s="384">
        <f>D28</f>
        <v>0</v>
      </c>
      <c r="F25" s="384">
        <f t="shared" ref="F25:L25" si="9">E28</f>
        <v>0</v>
      </c>
      <c r="G25" s="384">
        <f t="shared" si="9"/>
        <v>0</v>
      </c>
      <c r="H25" s="384">
        <f t="shared" si="9"/>
        <v>0</v>
      </c>
      <c r="I25" s="384">
        <f t="shared" si="9"/>
        <v>0</v>
      </c>
      <c r="J25" s="384">
        <f t="shared" si="9"/>
        <v>0</v>
      </c>
      <c r="K25" s="384">
        <f t="shared" si="9"/>
        <v>0</v>
      </c>
      <c r="L25" s="384">
        <f t="shared" si="9"/>
        <v>0</v>
      </c>
      <c r="N25" s="300"/>
    </row>
    <row r="26" spans="2:14" x14ac:dyDescent="0.3">
      <c r="B26" s="27" t="s">
        <v>462</v>
      </c>
      <c r="C26" s="30" t="s">
        <v>51</v>
      </c>
      <c r="D26" s="336"/>
      <c r="E26" s="336"/>
      <c r="F26" s="336"/>
      <c r="G26" s="336"/>
      <c r="H26" s="336"/>
      <c r="I26" s="336"/>
      <c r="J26" s="336"/>
      <c r="K26" s="336"/>
      <c r="L26" s="336"/>
      <c r="N26" s="300"/>
    </row>
    <row r="27" spans="2:14" x14ac:dyDescent="0.3">
      <c r="B27" s="27" t="s">
        <v>463</v>
      </c>
      <c r="C27" s="30" t="s">
        <v>52</v>
      </c>
      <c r="D27" s="336"/>
      <c r="E27" s="336"/>
      <c r="F27" s="336"/>
      <c r="G27" s="336"/>
      <c r="H27" s="336"/>
      <c r="I27" s="336"/>
      <c r="J27" s="336"/>
      <c r="K27" s="336"/>
      <c r="L27" s="336"/>
      <c r="N27" s="300"/>
    </row>
    <row r="28" spans="2:14" x14ac:dyDescent="0.3">
      <c r="B28" s="27" t="s">
        <v>464</v>
      </c>
      <c r="C28" s="29" t="s">
        <v>53</v>
      </c>
      <c r="D28" s="384">
        <f>SUM(D25:D27)</f>
        <v>0</v>
      </c>
      <c r="E28" s="384">
        <f t="shared" ref="E28:L28" si="10">SUM(E25:E27)</f>
        <v>0</v>
      </c>
      <c r="F28" s="384">
        <f t="shared" si="10"/>
        <v>0</v>
      </c>
      <c r="G28" s="384">
        <f t="shared" si="10"/>
        <v>0</v>
      </c>
      <c r="H28" s="384">
        <f t="shared" si="10"/>
        <v>0</v>
      </c>
      <c r="I28" s="384">
        <f t="shared" si="10"/>
        <v>0</v>
      </c>
      <c r="J28" s="384">
        <f t="shared" si="10"/>
        <v>0</v>
      </c>
      <c r="K28" s="384">
        <f t="shared" si="10"/>
        <v>0</v>
      </c>
      <c r="L28" s="384">
        <f t="shared" si="10"/>
        <v>0</v>
      </c>
      <c r="N28" s="300"/>
    </row>
    <row r="29" spans="2:14" x14ac:dyDescent="0.3">
      <c r="B29" s="27" t="s">
        <v>465</v>
      </c>
      <c r="C29" s="31" t="s">
        <v>54</v>
      </c>
      <c r="D29" s="384">
        <f>+D24-D28</f>
        <v>0</v>
      </c>
      <c r="E29" s="384">
        <f t="shared" ref="E29:L29" si="11">+E24-E28</f>
        <v>0</v>
      </c>
      <c r="F29" s="384">
        <f t="shared" si="11"/>
        <v>0</v>
      </c>
      <c r="G29" s="384">
        <f t="shared" si="11"/>
        <v>0</v>
      </c>
      <c r="H29" s="384">
        <f t="shared" si="11"/>
        <v>0</v>
      </c>
      <c r="I29" s="384">
        <f t="shared" si="11"/>
        <v>0</v>
      </c>
      <c r="J29" s="384">
        <f t="shared" si="11"/>
        <v>0</v>
      </c>
      <c r="K29" s="384">
        <f t="shared" si="11"/>
        <v>0</v>
      </c>
      <c r="L29" s="384">
        <f t="shared" si="11"/>
        <v>0</v>
      </c>
      <c r="N29" s="300"/>
    </row>
    <row r="30" spans="2:14" x14ac:dyDescent="0.3">
      <c r="B30" s="148" t="s">
        <v>467</v>
      </c>
      <c r="C30" s="150" t="s">
        <v>39</v>
      </c>
      <c r="D30" s="192"/>
      <c r="E30" s="192"/>
      <c r="F30" s="192"/>
      <c r="G30" s="192"/>
      <c r="H30" s="192"/>
      <c r="I30" s="192"/>
      <c r="J30" s="192"/>
      <c r="K30" s="192"/>
      <c r="L30" s="192"/>
      <c r="N30" s="300"/>
    </row>
    <row r="31" spans="2:14" x14ac:dyDescent="0.3">
      <c r="B31" s="27" t="s">
        <v>468</v>
      </c>
      <c r="C31" s="29" t="s">
        <v>47</v>
      </c>
      <c r="D31" s="336"/>
      <c r="E31" s="384">
        <f>D34</f>
        <v>0</v>
      </c>
      <c r="F31" s="384">
        <f t="shared" ref="F31:L31" si="12">E34</f>
        <v>0</v>
      </c>
      <c r="G31" s="384">
        <f t="shared" si="12"/>
        <v>0</v>
      </c>
      <c r="H31" s="384">
        <f t="shared" si="12"/>
        <v>0</v>
      </c>
      <c r="I31" s="384">
        <f t="shared" si="12"/>
        <v>0</v>
      </c>
      <c r="J31" s="384">
        <f t="shared" si="12"/>
        <v>0</v>
      </c>
      <c r="K31" s="384">
        <f t="shared" si="12"/>
        <v>0</v>
      </c>
      <c r="L31" s="384">
        <f t="shared" si="12"/>
        <v>0</v>
      </c>
      <c r="N31" s="300"/>
    </row>
    <row r="32" spans="2:14" x14ac:dyDescent="0.3">
      <c r="B32" s="27" t="s">
        <v>469</v>
      </c>
      <c r="C32" s="30" t="s">
        <v>45</v>
      </c>
      <c r="D32" s="336"/>
      <c r="E32" s="336"/>
      <c r="F32" s="336"/>
      <c r="G32" s="336"/>
      <c r="H32" s="336"/>
      <c r="I32" s="336"/>
      <c r="J32" s="336"/>
      <c r="K32" s="336"/>
      <c r="L32" s="336"/>
      <c r="N32" s="300"/>
    </row>
    <row r="33" spans="2:14" x14ac:dyDescent="0.3">
      <c r="B33" s="27" t="s">
        <v>470</v>
      </c>
      <c r="C33" s="30" t="s">
        <v>48</v>
      </c>
      <c r="D33" s="336"/>
      <c r="E33" s="336"/>
      <c r="F33" s="336"/>
      <c r="G33" s="336"/>
      <c r="H33" s="336"/>
      <c r="I33" s="336"/>
      <c r="J33" s="336"/>
      <c r="K33" s="336"/>
      <c r="L33" s="336"/>
      <c r="N33" s="300"/>
    </row>
    <row r="34" spans="2:14" x14ac:dyDescent="0.3">
      <c r="B34" s="27" t="s">
        <v>471</v>
      </c>
      <c r="C34" s="29" t="s">
        <v>49</v>
      </c>
      <c r="D34" s="384">
        <f t="shared" ref="D34:L34" si="13">+D31+D32-D33</f>
        <v>0</v>
      </c>
      <c r="E34" s="384">
        <f t="shared" si="13"/>
        <v>0</v>
      </c>
      <c r="F34" s="384">
        <f t="shared" si="13"/>
        <v>0</v>
      </c>
      <c r="G34" s="384">
        <f t="shared" si="13"/>
        <v>0</v>
      </c>
      <c r="H34" s="384">
        <f t="shared" si="13"/>
        <v>0</v>
      </c>
      <c r="I34" s="384">
        <f t="shared" si="13"/>
        <v>0</v>
      </c>
      <c r="J34" s="384">
        <f t="shared" si="13"/>
        <v>0</v>
      </c>
      <c r="K34" s="384">
        <f t="shared" si="13"/>
        <v>0</v>
      </c>
      <c r="L34" s="384">
        <f t="shared" si="13"/>
        <v>0</v>
      </c>
      <c r="N34" s="300"/>
    </row>
    <row r="35" spans="2:14" x14ac:dyDescent="0.3">
      <c r="B35" s="27" t="s">
        <v>472</v>
      </c>
      <c r="C35" s="29" t="s">
        <v>50</v>
      </c>
      <c r="D35" s="336"/>
      <c r="E35" s="384">
        <f>D38</f>
        <v>0</v>
      </c>
      <c r="F35" s="384">
        <f t="shared" ref="F35:L35" si="14">E38</f>
        <v>0</v>
      </c>
      <c r="G35" s="384">
        <f t="shared" si="14"/>
        <v>0</v>
      </c>
      <c r="H35" s="384">
        <f t="shared" si="14"/>
        <v>0</v>
      </c>
      <c r="I35" s="384">
        <f t="shared" si="14"/>
        <v>0</v>
      </c>
      <c r="J35" s="384">
        <f t="shared" si="14"/>
        <v>0</v>
      </c>
      <c r="K35" s="384">
        <f t="shared" si="14"/>
        <v>0</v>
      </c>
      <c r="L35" s="384">
        <f t="shared" si="14"/>
        <v>0</v>
      </c>
      <c r="N35" s="300"/>
    </row>
    <row r="36" spans="2:14" x14ac:dyDescent="0.3">
      <c r="B36" s="27" t="s">
        <v>473</v>
      </c>
      <c r="C36" s="30" t="s">
        <v>51</v>
      </c>
      <c r="D36" s="336"/>
      <c r="E36" s="336"/>
      <c r="F36" s="336"/>
      <c r="G36" s="336"/>
      <c r="H36" s="336"/>
      <c r="I36" s="336"/>
      <c r="J36" s="336"/>
      <c r="K36" s="336"/>
      <c r="L36" s="336"/>
      <c r="N36" s="300"/>
    </row>
    <row r="37" spans="2:14" x14ac:dyDescent="0.3">
      <c r="B37" s="27" t="s">
        <v>474</v>
      </c>
      <c r="C37" s="30" t="s">
        <v>52</v>
      </c>
      <c r="D37" s="336"/>
      <c r="E37" s="336"/>
      <c r="F37" s="336"/>
      <c r="G37" s="336"/>
      <c r="H37" s="336"/>
      <c r="I37" s="336"/>
      <c r="J37" s="336"/>
      <c r="K37" s="336"/>
      <c r="L37" s="336"/>
      <c r="N37" s="300"/>
    </row>
    <row r="38" spans="2:14" x14ac:dyDescent="0.3">
      <c r="B38" s="27" t="s">
        <v>475</v>
      </c>
      <c r="C38" s="29" t="s">
        <v>53</v>
      </c>
      <c r="D38" s="384">
        <f t="shared" ref="D38:L38" si="15">SUM(D35:D37)</f>
        <v>0</v>
      </c>
      <c r="E38" s="384">
        <f t="shared" si="15"/>
        <v>0</v>
      </c>
      <c r="F38" s="384">
        <f t="shared" si="15"/>
        <v>0</v>
      </c>
      <c r="G38" s="384">
        <f t="shared" si="15"/>
        <v>0</v>
      </c>
      <c r="H38" s="384">
        <f t="shared" si="15"/>
        <v>0</v>
      </c>
      <c r="I38" s="384">
        <f t="shared" si="15"/>
        <v>0</v>
      </c>
      <c r="J38" s="384">
        <f t="shared" si="15"/>
        <v>0</v>
      </c>
      <c r="K38" s="384">
        <f t="shared" si="15"/>
        <v>0</v>
      </c>
      <c r="L38" s="384">
        <f t="shared" si="15"/>
        <v>0</v>
      </c>
      <c r="N38" s="300"/>
    </row>
    <row r="39" spans="2:14" x14ac:dyDescent="0.3">
      <c r="B39" s="27" t="s">
        <v>476</v>
      </c>
      <c r="C39" s="31" t="s">
        <v>54</v>
      </c>
      <c r="D39" s="384">
        <f>+D34-D38</f>
        <v>0</v>
      </c>
      <c r="E39" s="384">
        <f t="shared" ref="E39:L39" si="16">+E34-E38</f>
        <v>0</v>
      </c>
      <c r="F39" s="384">
        <f t="shared" si="16"/>
        <v>0</v>
      </c>
      <c r="G39" s="384">
        <f t="shared" si="16"/>
        <v>0</v>
      </c>
      <c r="H39" s="384">
        <f t="shared" si="16"/>
        <v>0</v>
      </c>
      <c r="I39" s="384">
        <f t="shared" si="16"/>
        <v>0</v>
      </c>
      <c r="J39" s="384">
        <f t="shared" si="16"/>
        <v>0</v>
      </c>
      <c r="K39" s="384">
        <f t="shared" si="16"/>
        <v>0</v>
      </c>
      <c r="L39" s="384">
        <f t="shared" si="16"/>
        <v>0</v>
      </c>
      <c r="N39" s="300"/>
    </row>
    <row r="40" spans="2:14" x14ac:dyDescent="0.3">
      <c r="B40" s="148" t="s">
        <v>477</v>
      </c>
      <c r="C40" s="150" t="s">
        <v>56</v>
      </c>
      <c r="D40" s="192"/>
      <c r="E40" s="192"/>
      <c r="F40" s="192"/>
      <c r="G40" s="192"/>
      <c r="H40" s="192"/>
      <c r="I40" s="192"/>
      <c r="J40" s="192"/>
      <c r="K40" s="192"/>
      <c r="L40" s="192"/>
      <c r="N40" s="300"/>
    </row>
    <row r="41" spans="2:14" x14ac:dyDescent="0.3">
      <c r="B41" s="27" t="s">
        <v>478</v>
      </c>
      <c r="C41" s="29" t="s">
        <v>47</v>
      </c>
      <c r="D41" s="336"/>
      <c r="E41" s="384">
        <f>D44</f>
        <v>0</v>
      </c>
      <c r="F41" s="384">
        <f t="shared" ref="F41:L41" si="17">E44</f>
        <v>0</v>
      </c>
      <c r="G41" s="384">
        <f t="shared" si="17"/>
        <v>0</v>
      </c>
      <c r="H41" s="384">
        <f t="shared" si="17"/>
        <v>0</v>
      </c>
      <c r="I41" s="384">
        <f t="shared" si="17"/>
        <v>0</v>
      </c>
      <c r="J41" s="384">
        <f t="shared" si="17"/>
        <v>0</v>
      </c>
      <c r="K41" s="384">
        <f t="shared" si="17"/>
        <v>0</v>
      </c>
      <c r="L41" s="384">
        <f t="shared" si="17"/>
        <v>0</v>
      </c>
      <c r="N41" s="300"/>
    </row>
    <row r="42" spans="2:14" x14ac:dyDescent="0.3">
      <c r="B42" s="27" t="s">
        <v>479</v>
      </c>
      <c r="C42" s="30" t="s">
        <v>45</v>
      </c>
      <c r="D42" s="336"/>
      <c r="E42" s="336"/>
      <c r="F42" s="336"/>
      <c r="G42" s="336"/>
      <c r="H42" s="336"/>
      <c r="I42" s="336"/>
      <c r="J42" s="336"/>
      <c r="K42" s="336"/>
      <c r="L42" s="336"/>
      <c r="N42" s="300"/>
    </row>
    <row r="43" spans="2:14" x14ac:dyDescent="0.3">
      <c r="B43" s="27" t="s">
        <v>480</v>
      </c>
      <c r="C43" s="30" t="s">
        <v>48</v>
      </c>
      <c r="D43" s="336"/>
      <c r="E43" s="336"/>
      <c r="F43" s="336"/>
      <c r="G43" s="336"/>
      <c r="H43" s="336"/>
      <c r="I43" s="336"/>
      <c r="J43" s="336"/>
      <c r="K43" s="336"/>
      <c r="L43" s="336"/>
      <c r="N43" s="300"/>
    </row>
    <row r="44" spans="2:14" x14ac:dyDescent="0.3">
      <c r="B44" s="27" t="s">
        <v>481</v>
      </c>
      <c r="C44" s="29" t="s">
        <v>49</v>
      </c>
      <c r="D44" s="384">
        <f t="shared" ref="D44:L44" si="18">+D41+D42-D43</f>
        <v>0</v>
      </c>
      <c r="E44" s="384">
        <f t="shared" si="18"/>
        <v>0</v>
      </c>
      <c r="F44" s="384">
        <f t="shared" si="18"/>
        <v>0</v>
      </c>
      <c r="G44" s="384">
        <f t="shared" si="18"/>
        <v>0</v>
      </c>
      <c r="H44" s="384">
        <f t="shared" si="18"/>
        <v>0</v>
      </c>
      <c r="I44" s="384">
        <f t="shared" si="18"/>
        <v>0</v>
      </c>
      <c r="J44" s="384">
        <f t="shared" si="18"/>
        <v>0</v>
      </c>
      <c r="K44" s="384">
        <f t="shared" si="18"/>
        <v>0</v>
      </c>
      <c r="L44" s="384">
        <f t="shared" si="18"/>
        <v>0</v>
      </c>
      <c r="N44" s="300"/>
    </row>
    <row r="45" spans="2:14" x14ac:dyDescent="0.3">
      <c r="B45" s="27" t="s">
        <v>482</v>
      </c>
      <c r="C45" s="29" t="s">
        <v>50</v>
      </c>
      <c r="D45" s="336"/>
      <c r="E45" s="384">
        <f>D48</f>
        <v>0</v>
      </c>
      <c r="F45" s="384">
        <f t="shared" ref="F45:L45" si="19">E48</f>
        <v>0</v>
      </c>
      <c r="G45" s="384">
        <f t="shared" si="19"/>
        <v>0</v>
      </c>
      <c r="H45" s="384">
        <f t="shared" si="19"/>
        <v>0</v>
      </c>
      <c r="I45" s="384">
        <f t="shared" si="19"/>
        <v>0</v>
      </c>
      <c r="J45" s="384">
        <f t="shared" si="19"/>
        <v>0</v>
      </c>
      <c r="K45" s="384">
        <f t="shared" si="19"/>
        <v>0</v>
      </c>
      <c r="L45" s="384">
        <f t="shared" si="19"/>
        <v>0</v>
      </c>
      <c r="N45" s="300"/>
    </row>
    <row r="46" spans="2:14" x14ac:dyDescent="0.3">
      <c r="B46" s="27" t="s">
        <v>483</v>
      </c>
      <c r="C46" s="30" t="s">
        <v>51</v>
      </c>
      <c r="D46" s="336"/>
      <c r="E46" s="336"/>
      <c r="F46" s="336"/>
      <c r="G46" s="336"/>
      <c r="H46" s="336"/>
      <c r="I46" s="336"/>
      <c r="J46" s="336"/>
      <c r="K46" s="336"/>
      <c r="L46" s="336"/>
      <c r="N46" s="300"/>
    </row>
    <row r="47" spans="2:14" x14ac:dyDescent="0.3">
      <c r="B47" s="27" t="s">
        <v>484</v>
      </c>
      <c r="C47" s="30" t="s">
        <v>52</v>
      </c>
      <c r="D47" s="336"/>
      <c r="E47" s="336"/>
      <c r="F47" s="336"/>
      <c r="G47" s="336"/>
      <c r="H47" s="336"/>
      <c r="I47" s="336"/>
      <c r="J47" s="336"/>
      <c r="K47" s="336"/>
      <c r="L47" s="336"/>
      <c r="N47" s="300"/>
    </row>
    <row r="48" spans="2:14" x14ac:dyDescent="0.3">
      <c r="B48" s="27" t="s">
        <v>485</v>
      </c>
      <c r="C48" s="29" t="s">
        <v>53</v>
      </c>
      <c r="D48" s="384">
        <f t="shared" ref="D48:L48" si="20">SUM(D45:D47)</f>
        <v>0</v>
      </c>
      <c r="E48" s="384">
        <f t="shared" si="20"/>
        <v>0</v>
      </c>
      <c r="F48" s="384">
        <f t="shared" si="20"/>
        <v>0</v>
      </c>
      <c r="G48" s="384">
        <f t="shared" si="20"/>
        <v>0</v>
      </c>
      <c r="H48" s="384">
        <f t="shared" si="20"/>
        <v>0</v>
      </c>
      <c r="I48" s="384">
        <f t="shared" si="20"/>
        <v>0</v>
      </c>
      <c r="J48" s="384">
        <f t="shared" si="20"/>
        <v>0</v>
      </c>
      <c r="K48" s="384">
        <f t="shared" si="20"/>
        <v>0</v>
      </c>
      <c r="L48" s="384">
        <f t="shared" si="20"/>
        <v>0</v>
      </c>
      <c r="N48" s="300"/>
    </row>
    <row r="49" spans="2:14" x14ac:dyDescent="0.3">
      <c r="B49" s="27" t="s">
        <v>486</v>
      </c>
      <c r="C49" s="31" t="s">
        <v>54</v>
      </c>
      <c r="D49" s="384">
        <f>+D44-D48</f>
        <v>0</v>
      </c>
      <c r="E49" s="384">
        <f t="shared" ref="E49:L49" si="21">+E44-E48</f>
        <v>0</v>
      </c>
      <c r="F49" s="384">
        <f t="shared" si="21"/>
        <v>0</v>
      </c>
      <c r="G49" s="384">
        <f t="shared" si="21"/>
        <v>0</v>
      </c>
      <c r="H49" s="384">
        <f t="shared" si="21"/>
        <v>0</v>
      </c>
      <c r="I49" s="384">
        <f t="shared" si="21"/>
        <v>0</v>
      </c>
      <c r="J49" s="384">
        <f t="shared" si="21"/>
        <v>0</v>
      </c>
      <c r="K49" s="384">
        <f t="shared" si="21"/>
        <v>0</v>
      </c>
      <c r="L49" s="384">
        <f t="shared" si="21"/>
        <v>0</v>
      </c>
      <c r="N49" s="300"/>
    </row>
    <row r="50" spans="2:14" x14ac:dyDescent="0.3">
      <c r="B50" s="148" t="s">
        <v>487</v>
      </c>
      <c r="C50" s="150" t="s">
        <v>57</v>
      </c>
      <c r="D50" s="192"/>
      <c r="E50" s="192"/>
      <c r="F50" s="192"/>
      <c r="G50" s="192"/>
      <c r="H50" s="192"/>
      <c r="I50" s="192"/>
      <c r="J50" s="192"/>
      <c r="K50" s="192"/>
      <c r="L50" s="192"/>
      <c r="M50" s="16"/>
      <c r="N50" s="300"/>
    </row>
    <row r="51" spans="2:14" x14ac:dyDescent="0.3">
      <c r="B51" s="27" t="s">
        <v>488</v>
      </c>
      <c r="C51" s="29" t="s">
        <v>47</v>
      </c>
      <c r="D51" s="336"/>
      <c r="E51" s="384">
        <f>D54</f>
        <v>0</v>
      </c>
      <c r="F51" s="384">
        <f t="shared" ref="F51:L51" si="22">E54</f>
        <v>0</v>
      </c>
      <c r="G51" s="384">
        <f t="shared" si="22"/>
        <v>0</v>
      </c>
      <c r="H51" s="384">
        <f t="shared" si="22"/>
        <v>0</v>
      </c>
      <c r="I51" s="384">
        <f t="shared" si="22"/>
        <v>0</v>
      </c>
      <c r="J51" s="384">
        <f t="shared" si="22"/>
        <v>0</v>
      </c>
      <c r="K51" s="384">
        <f t="shared" si="22"/>
        <v>0</v>
      </c>
      <c r="L51" s="384">
        <f t="shared" si="22"/>
        <v>0</v>
      </c>
      <c r="N51" s="300"/>
    </row>
    <row r="52" spans="2:14" x14ac:dyDescent="0.3">
      <c r="B52" s="27" t="s">
        <v>489</v>
      </c>
      <c r="C52" s="30" t="s">
        <v>45</v>
      </c>
      <c r="D52" s="336"/>
      <c r="E52" s="336"/>
      <c r="F52" s="336"/>
      <c r="G52" s="336"/>
      <c r="H52" s="336"/>
      <c r="I52" s="336"/>
      <c r="J52" s="336"/>
      <c r="K52" s="336"/>
      <c r="L52" s="336"/>
      <c r="N52" s="300"/>
    </row>
    <row r="53" spans="2:14" x14ac:dyDescent="0.3">
      <c r="B53" s="27" t="s">
        <v>490</v>
      </c>
      <c r="C53" s="30" t="s">
        <v>48</v>
      </c>
      <c r="D53" s="336"/>
      <c r="E53" s="336"/>
      <c r="F53" s="336"/>
      <c r="G53" s="336"/>
      <c r="H53" s="336"/>
      <c r="I53" s="336"/>
      <c r="J53" s="336"/>
      <c r="K53" s="336"/>
      <c r="L53" s="336"/>
      <c r="N53" s="300"/>
    </row>
    <row r="54" spans="2:14" s="32" customFormat="1" x14ac:dyDescent="0.3">
      <c r="B54" s="27" t="s">
        <v>491</v>
      </c>
      <c r="C54" s="29" t="s">
        <v>49</v>
      </c>
      <c r="D54" s="384">
        <f>+D51+D52-D53</f>
        <v>0</v>
      </c>
      <c r="E54" s="384">
        <f t="shared" ref="E54:L54" si="23">+E51+E52-E53</f>
        <v>0</v>
      </c>
      <c r="F54" s="384">
        <f t="shared" si="23"/>
        <v>0</v>
      </c>
      <c r="G54" s="384">
        <f t="shared" si="23"/>
        <v>0</v>
      </c>
      <c r="H54" s="384">
        <f t="shared" si="23"/>
        <v>0</v>
      </c>
      <c r="I54" s="384">
        <f t="shared" si="23"/>
        <v>0</v>
      </c>
      <c r="J54" s="384">
        <f t="shared" si="23"/>
        <v>0</v>
      </c>
      <c r="K54" s="384">
        <f t="shared" si="23"/>
        <v>0</v>
      </c>
      <c r="L54" s="384">
        <f t="shared" si="23"/>
        <v>0</v>
      </c>
      <c r="M54" s="12"/>
      <c r="N54" s="300"/>
    </row>
    <row r="55" spans="2:14" x14ac:dyDescent="0.3">
      <c r="B55" s="27" t="s">
        <v>492</v>
      </c>
      <c r="C55" s="29" t="s">
        <v>50</v>
      </c>
      <c r="D55" s="336"/>
      <c r="E55" s="384">
        <f>D58</f>
        <v>0</v>
      </c>
      <c r="F55" s="384">
        <f t="shared" ref="F55:L55" si="24">E58</f>
        <v>0</v>
      </c>
      <c r="G55" s="384">
        <f t="shared" si="24"/>
        <v>0</v>
      </c>
      <c r="H55" s="384">
        <f t="shared" si="24"/>
        <v>0</v>
      </c>
      <c r="I55" s="384">
        <f t="shared" si="24"/>
        <v>0</v>
      </c>
      <c r="J55" s="384">
        <f t="shared" si="24"/>
        <v>0</v>
      </c>
      <c r="K55" s="384">
        <f t="shared" si="24"/>
        <v>0</v>
      </c>
      <c r="L55" s="384">
        <f t="shared" si="24"/>
        <v>0</v>
      </c>
      <c r="M55" s="16"/>
      <c r="N55" s="300"/>
    </row>
    <row r="56" spans="2:14" x14ac:dyDescent="0.3">
      <c r="B56" s="27" t="s">
        <v>493</v>
      </c>
      <c r="C56" s="30" t="s">
        <v>51</v>
      </c>
      <c r="D56" s="336"/>
      <c r="E56" s="336"/>
      <c r="F56" s="336"/>
      <c r="G56" s="336"/>
      <c r="H56" s="336"/>
      <c r="I56" s="336"/>
      <c r="J56" s="336"/>
      <c r="K56" s="336"/>
      <c r="L56" s="336"/>
      <c r="M56" s="16"/>
      <c r="N56" s="300"/>
    </row>
    <row r="57" spans="2:14" x14ac:dyDescent="0.3">
      <c r="B57" s="27" t="s">
        <v>494</v>
      </c>
      <c r="C57" s="30" t="s">
        <v>52</v>
      </c>
      <c r="D57" s="336"/>
      <c r="E57" s="336"/>
      <c r="F57" s="336"/>
      <c r="G57" s="336"/>
      <c r="H57" s="336"/>
      <c r="I57" s="336"/>
      <c r="J57" s="336"/>
      <c r="K57" s="336"/>
      <c r="L57" s="336"/>
      <c r="M57" s="16"/>
      <c r="N57" s="300"/>
    </row>
    <row r="58" spans="2:14" x14ac:dyDescent="0.3">
      <c r="B58" s="27" t="s">
        <v>495</v>
      </c>
      <c r="C58" s="29" t="s">
        <v>53</v>
      </c>
      <c r="D58" s="384">
        <f t="shared" ref="D58:L58" si="25">SUM(D55:D57)</f>
        <v>0</v>
      </c>
      <c r="E58" s="384">
        <f t="shared" si="25"/>
        <v>0</v>
      </c>
      <c r="F58" s="384">
        <f t="shared" si="25"/>
        <v>0</v>
      </c>
      <c r="G58" s="384">
        <f t="shared" si="25"/>
        <v>0</v>
      </c>
      <c r="H58" s="384">
        <f t="shared" si="25"/>
        <v>0</v>
      </c>
      <c r="I58" s="384">
        <f t="shared" si="25"/>
        <v>0</v>
      </c>
      <c r="J58" s="384">
        <f t="shared" si="25"/>
        <v>0</v>
      </c>
      <c r="K58" s="384">
        <f t="shared" si="25"/>
        <v>0</v>
      </c>
      <c r="L58" s="384">
        <f t="shared" si="25"/>
        <v>0</v>
      </c>
      <c r="M58" s="16"/>
      <c r="N58" s="300"/>
    </row>
    <row r="59" spans="2:14" ht="14.4" thickBot="1" x14ac:dyDescent="0.35">
      <c r="B59" s="27" t="s">
        <v>496</v>
      </c>
      <c r="C59" s="33" t="s">
        <v>54</v>
      </c>
      <c r="D59" s="384">
        <f>+D54-D58</f>
        <v>0</v>
      </c>
      <c r="E59" s="384">
        <f t="shared" ref="E59:L59" si="26">+E54-E58</f>
        <v>0</v>
      </c>
      <c r="F59" s="384">
        <f t="shared" si="26"/>
        <v>0</v>
      </c>
      <c r="G59" s="384">
        <f t="shared" si="26"/>
        <v>0</v>
      </c>
      <c r="H59" s="384">
        <f t="shared" si="26"/>
        <v>0</v>
      </c>
      <c r="I59" s="384">
        <f t="shared" si="26"/>
        <v>0</v>
      </c>
      <c r="J59" s="384">
        <f t="shared" si="26"/>
        <v>0</v>
      </c>
      <c r="K59" s="384">
        <f t="shared" si="26"/>
        <v>0</v>
      </c>
      <c r="L59" s="384">
        <f t="shared" si="26"/>
        <v>0</v>
      </c>
      <c r="M59" s="16"/>
      <c r="N59" s="300"/>
    </row>
    <row r="60" spans="2:14" ht="13.35" customHeight="1" thickTop="1" x14ac:dyDescent="0.3">
      <c r="B60" s="210" t="s">
        <v>497</v>
      </c>
      <c r="C60" s="151" t="s">
        <v>301</v>
      </c>
      <c r="D60" s="152"/>
      <c r="E60" s="152"/>
      <c r="F60" s="152"/>
      <c r="G60" s="152"/>
      <c r="H60" s="152"/>
      <c r="I60" s="152"/>
      <c r="J60" s="152"/>
      <c r="K60" s="152"/>
      <c r="L60" s="152"/>
      <c r="M60" s="16"/>
      <c r="N60" s="300"/>
    </row>
    <row r="61" spans="2:14" ht="13.35" customHeight="1" x14ac:dyDescent="0.3">
      <c r="B61" s="34" t="s">
        <v>498</v>
      </c>
      <c r="C61" s="193" t="s">
        <v>47</v>
      </c>
      <c r="D61" s="386">
        <f t="shared" ref="D61:L69" si="27">SUMIFS(D$5:D$59,$C$5:$C$59,$C61)</f>
        <v>0</v>
      </c>
      <c r="E61" s="386">
        <f t="shared" si="27"/>
        <v>0</v>
      </c>
      <c r="F61" s="386">
        <f t="shared" si="27"/>
        <v>0</v>
      </c>
      <c r="G61" s="386">
        <f t="shared" si="27"/>
        <v>0</v>
      </c>
      <c r="H61" s="386">
        <f t="shared" si="27"/>
        <v>0</v>
      </c>
      <c r="I61" s="386">
        <f t="shared" si="27"/>
        <v>0</v>
      </c>
      <c r="J61" s="386">
        <f t="shared" si="27"/>
        <v>0</v>
      </c>
      <c r="K61" s="386">
        <f t="shared" si="27"/>
        <v>0</v>
      </c>
      <c r="L61" s="386">
        <f t="shared" si="27"/>
        <v>0</v>
      </c>
      <c r="N61" s="300"/>
    </row>
    <row r="62" spans="2:14" ht="13.35" customHeight="1" x14ac:dyDescent="0.3">
      <c r="B62" s="34" t="s">
        <v>499</v>
      </c>
      <c r="C62" s="193" t="s">
        <v>45</v>
      </c>
      <c r="D62" s="386">
        <f>SUMIFS(D$5:D$59,$C$5:$C$59,$C62)</f>
        <v>0</v>
      </c>
      <c r="E62" s="386">
        <f t="shared" si="27"/>
        <v>0</v>
      </c>
      <c r="F62" s="386">
        <f t="shared" si="27"/>
        <v>0</v>
      </c>
      <c r="G62" s="386">
        <f t="shared" si="27"/>
        <v>0</v>
      </c>
      <c r="H62" s="386">
        <f t="shared" si="27"/>
        <v>0</v>
      </c>
      <c r="I62" s="386">
        <f t="shared" si="27"/>
        <v>0</v>
      </c>
      <c r="J62" s="386">
        <f t="shared" si="27"/>
        <v>0</v>
      </c>
      <c r="K62" s="386">
        <f t="shared" si="27"/>
        <v>0</v>
      </c>
      <c r="L62" s="386">
        <f t="shared" si="27"/>
        <v>0</v>
      </c>
      <c r="N62" s="300"/>
    </row>
    <row r="63" spans="2:14" ht="13.35" customHeight="1" x14ac:dyDescent="0.3">
      <c r="B63" s="34" t="s">
        <v>500</v>
      </c>
      <c r="C63" s="193" t="s">
        <v>48</v>
      </c>
      <c r="D63" s="386">
        <f t="shared" si="27"/>
        <v>0</v>
      </c>
      <c r="E63" s="386">
        <f t="shared" si="27"/>
        <v>0</v>
      </c>
      <c r="F63" s="386">
        <f t="shared" si="27"/>
        <v>0</v>
      </c>
      <c r="G63" s="386">
        <f t="shared" si="27"/>
        <v>0</v>
      </c>
      <c r="H63" s="386">
        <f t="shared" si="27"/>
        <v>0</v>
      </c>
      <c r="I63" s="386">
        <f t="shared" si="27"/>
        <v>0</v>
      </c>
      <c r="J63" s="386">
        <f t="shared" si="27"/>
        <v>0</v>
      </c>
      <c r="K63" s="386">
        <f t="shared" si="27"/>
        <v>0</v>
      </c>
      <c r="L63" s="386">
        <f t="shared" si="27"/>
        <v>0</v>
      </c>
      <c r="N63" s="300"/>
    </row>
    <row r="64" spans="2:14" ht="13.35" customHeight="1" x14ac:dyDescent="0.3">
      <c r="B64" s="34" t="s">
        <v>501</v>
      </c>
      <c r="C64" s="193" t="s">
        <v>49</v>
      </c>
      <c r="D64" s="386">
        <f t="shared" si="27"/>
        <v>0</v>
      </c>
      <c r="E64" s="386">
        <f t="shared" si="27"/>
        <v>0</v>
      </c>
      <c r="F64" s="386">
        <f t="shared" si="27"/>
        <v>0</v>
      </c>
      <c r="G64" s="386">
        <f t="shared" si="27"/>
        <v>0</v>
      </c>
      <c r="H64" s="386">
        <f t="shared" si="27"/>
        <v>0</v>
      </c>
      <c r="I64" s="386">
        <f t="shared" si="27"/>
        <v>0</v>
      </c>
      <c r="J64" s="386">
        <f t="shared" si="27"/>
        <v>0</v>
      </c>
      <c r="K64" s="386">
        <f t="shared" si="27"/>
        <v>0</v>
      </c>
      <c r="L64" s="386">
        <f t="shared" si="27"/>
        <v>0</v>
      </c>
      <c r="N64" s="300"/>
    </row>
    <row r="65" spans="2:14" ht="13.35" customHeight="1" x14ac:dyDescent="0.3">
      <c r="B65" s="34" t="s">
        <v>502</v>
      </c>
      <c r="C65" s="193" t="s">
        <v>50</v>
      </c>
      <c r="D65" s="386">
        <f t="shared" si="27"/>
        <v>0</v>
      </c>
      <c r="E65" s="386">
        <f t="shared" si="27"/>
        <v>0</v>
      </c>
      <c r="F65" s="386">
        <f t="shared" si="27"/>
        <v>0</v>
      </c>
      <c r="G65" s="386">
        <f t="shared" si="27"/>
        <v>0</v>
      </c>
      <c r="H65" s="386">
        <f t="shared" si="27"/>
        <v>0</v>
      </c>
      <c r="I65" s="386">
        <f t="shared" si="27"/>
        <v>0</v>
      </c>
      <c r="J65" s="386">
        <f t="shared" si="27"/>
        <v>0</v>
      </c>
      <c r="K65" s="386">
        <f t="shared" si="27"/>
        <v>0</v>
      </c>
      <c r="L65" s="386">
        <f t="shared" si="27"/>
        <v>0</v>
      </c>
      <c r="N65" s="300"/>
    </row>
    <row r="66" spans="2:14" ht="13.35" customHeight="1" x14ac:dyDescent="0.3">
      <c r="B66" s="34" t="s">
        <v>503</v>
      </c>
      <c r="C66" s="193" t="s">
        <v>51</v>
      </c>
      <c r="D66" s="386">
        <f t="shared" si="27"/>
        <v>0</v>
      </c>
      <c r="E66" s="386">
        <f t="shared" si="27"/>
        <v>0</v>
      </c>
      <c r="F66" s="386">
        <f t="shared" si="27"/>
        <v>0</v>
      </c>
      <c r="G66" s="386">
        <f t="shared" si="27"/>
        <v>0</v>
      </c>
      <c r="H66" s="386">
        <f t="shared" si="27"/>
        <v>0</v>
      </c>
      <c r="I66" s="386">
        <f t="shared" si="27"/>
        <v>0</v>
      </c>
      <c r="J66" s="386">
        <f t="shared" si="27"/>
        <v>0</v>
      </c>
      <c r="K66" s="386">
        <f t="shared" si="27"/>
        <v>0</v>
      </c>
      <c r="L66" s="386">
        <f t="shared" si="27"/>
        <v>0</v>
      </c>
      <c r="N66" s="300"/>
    </row>
    <row r="67" spans="2:14" ht="13.35" customHeight="1" x14ac:dyDescent="0.3">
      <c r="B67" s="34" t="s">
        <v>504</v>
      </c>
      <c r="C67" s="193" t="s">
        <v>52</v>
      </c>
      <c r="D67" s="386">
        <f t="shared" si="27"/>
        <v>0</v>
      </c>
      <c r="E67" s="386">
        <f t="shared" si="27"/>
        <v>0</v>
      </c>
      <c r="F67" s="386">
        <f t="shared" si="27"/>
        <v>0</v>
      </c>
      <c r="G67" s="386">
        <f t="shared" si="27"/>
        <v>0</v>
      </c>
      <c r="H67" s="386">
        <f t="shared" si="27"/>
        <v>0</v>
      </c>
      <c r="I67" s="386">
        <f t="shared" si="27"/>
        <v>0</v>
      </c>
      <c r="J67" s="386">
        <f t="shared" si="27"/>
        <v>0</v>
      </c>
      <c r="K67" s="386">
        <f t="shared" si="27"/>
        <v>0</v>
      </c>
      <c r="L67" s="386">
        <f t="shared" si="27"/>
        <v>0</v>
      </c>
      <c r="N67" s="300"/>
    </row>
    <row r="68" spans="2:14" ht="13.35" customHeight="1" x14ac:dyDescent="0.3">
      <c r="B68" s="34" t="s">
        <v>505</v>
      </c>
      <c r="C68" s="193" t="s">
        <v>53</v>
      </c>
      <c r="D68" s="386">
        <f t="shared" si="27"/>
        <v>0</v>
      </c>
      <c r="E68" s="386">
        <f t="shared" si="27"/>
        <v>0</v>
      </c>
      <c r="F68" s="386">
        <f t="shared" si="27"/>
        <v>0</v>
      </c>
      <c r="G68" s="386">
        <f t="shared" si="27"/>
        <v>0</v>
      </c>
      <c r="H68" s="386">
        <f t="shared" si="27"/>
        <v>0</v>
      </c>
      <c r="I68" s="386">
        <f t="shared" si="27"/>
        <v>0</v>
      </c>
      <c r="J68" s="386">
        <f t="shared" si="27"/>
        <v>0</v>
      </c>
      <c r="K68" s="386">
        <f t="shared" si="27"/>
        <v>0</v>
      </c>
      <c r="L68" s="386">
        <f t="shared" si="27"/>
        <v>0</v>
      </c>
      <c r="N68" s="300"/>
    </row>
    <row r="69" spans="2:14" ht="13.35" customHeight="1" thickBot="1" x14ac:dyDescent="0.35">
      <c r="B69" s="35" t="s">
        <v>506</v>
      </c>
      <c r="C69" s="194" t="s">
        <v>54</v>
      </c>
      <c r="D69" s="387">
        <f>SUMIFS(D$5:D$59,$C$5:$C$59,$C69)</f>
        <v>0</v>
      </c>
      <c r="E69" s="387">
        <f>SUMIFS(E$5:E$59,$C$5:$C$59,$C69)</f>
        <v>0</v>
      </c>
      <c r="F69" s="387">
        <f t="shared" si="27"/>
        <v>0</v>
      </c>
      <c r="G69" s="387">
        <f t="shared" si="27"/>
        <v>0</v>
      </c>
      <c r="H69" s="387">
        <f t="shared" si="27"/>
        <v>0</v>
      </c>
      <c r="I69" s="387">
        <f t="shared" si="27"/>
        <v>0</v>
      </c>
      <c r="J69" s="387">
        <f t="shared" si="27"/>
        <v>0</v>
      </c>
      <c r="K69" s="387">
        <f t="shared" si="27"/>
        <v>0</v>
      </c>
      <c r="L69" s="387">
        <f t="shared" si="27"/>
        <v>0</v>
      </c>
      <c r="N69" s="300"/>
    </row>
    <row r="70" spans="2:14" ht="14.4" thickTop="1" x14ac:dyDescent="0.3"/>
  </sheetData>
  <sheetProtection algorithmName="SHA-512" hashValue="io9ZLcoHMgrcSN1teZ3Twjiy2T/uVtA9CVBtYklBqvgqHQi6nf9HNxybgjpBhW+Dl9VHDipUhX0JJhsgscTHoA==" saltValue="xz3m0boIUqYsEN0PHT8ncQ==" spinCount="100000" sheet="1" objects="1" scenarios="1" formatRows="0" insertRows="0"/>
  <mergeCells count="4">
    <mergeCell ref="C1:L1"/>
    <mergeCell ref="B3:B4"/>
    <mergeCell ref="C3:C4"/>
    <mergeCell ref="E3:L3"/>
  </mergeCells>
  <phoneticPr fontId="12" type="noConversion"/>
  <conditionalFormatting sqref="D2:L2">
    <cfRule type="expression" dxfId="59" priority="13">
      <formula>D2&gt;0</formula>
    </cfRule>
    <cfRule type="expression" dxfId="58" priority="14">
      <formula>D2&lt;0</formula>
    </cfRule>
    <cfRule type="expression" dxfId="57" priority="15">
      <formula>D2=0</formula>
    </cfRule>
  </conditionalFormatting>
  <conditionalFormatting sqref="D4:L4">
    <cfRule type="expression" dxfId="56" priority="1">
      <formula>D4="-"</formula>
    </cfRule>
  </conditionalFormatting>
  <conditionalFormatting sqref="D9:L9 D19:L19 D29:L29 D39:L39 D49:L49 D59:L59">
    <cfRule type="cellIs" dxfId="54" priority="16" operator="lessThan">
      <formula>0</formula>
    </cfRule>
    <cfRule type="cellIs" dxfId="53" priority="17" operator="lessThan">
      <formula>0</formula>
    </cfRule>
  </conditionalFormatting>
  <conditionalFormatting sqref="N2">
    <cfRule type="expression" dxfId="52" priority="6">
      <formula>ISNUMBER(SEARCH("Klaida", N2))</formula>
    </cfRule>
  </conditionalFormatting>
  <conditionalFormatting sqref="N3">
    <cfRule type="expression" dxfId="51" priority="5">
      <formula>ISNUMBER(SEARCH("Dėmesio", N3))</formula>
    </cfRule>
  </conditionalFormatting>
  <pageMargins left="0.70866141732283472" right="0.70866141732283472" top="0.74803149606299213" bottom="0.74803149606299213" header="0.31496062992125984" footer="0.31496062992125984"/>
  <pageSetup paperSize="9" pageOrder="overThenDown" orientation="landscape" blackAndWhite="1" horizontalDpi="4294967293" verticalDpi="4294967293" r:id="rId1"/>
  <extLst>
    <ext xmlns:x14="http://schemas.microsoft.com/office/spreadsheetml/2009/9/main" uri="{78C0D931-6437-407d-A8EE-F0AAD7539E65}">
      <x14:conditionalFormattings>
        <x14:conditionalFormatting xmlns:xm="http://schemas.microsoft.com/office/excel/2006/main">
          <x14:cfRule type="expression" priority="2" id="{6EF78313-A8F6-4E73-B0E7-C99608B411DD}">
            <xm:f>AND(D4&gt;=YEAR(Parametrai!$C$13),D4&lt;=MIN(YEAR('1'!$C$18),YEAR(EOMONTH(Parametrai!$C$13,Parametrai!$C$14)),IF(Parametrai!$C$16&lt;&gt;0,YEAR(Parametrai!$C$16),YEAR(EOMONTH(Parametrai!$C$13,Parametrai!$C$14)))))</xm:f>
            <x14:dxf>
              <fill>
                <patternFill>
                  <bgColor rgb="FFFFF0D2"/>
                </patternFill>
              </fill>
            </x14:dxf>
          </x14:cfRule>
          <xm:sqref>D4:L4</xm:sqref>
        </x14:conditionalFormatting>
      </x14:conditionalFormattings>
    </ext>
  </extLst>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Lapas10">
    <tabColor theme="9" tint="-0.249977111117893"/>
  </sheetPr>
  <dimension ref="A1:Z35"/>
  <sheetViews>
    <sheetView zoomScale="96" zoomScaleNormal="140" workbookViewId="0">
      <selection activeCell="E25" sqref="E25"/>
    </sheetView>
  </sheetViews>
  <sheetFormatPr defaultColWidth="8.6640625" defaultRowHeight="13.8" x14ac:dyDescent="0.3"/>
  <cols>
    <col min="1" max="1" width="6.6640625" style="11" customWidth="1"/>
    <col min="2" max="2" width="27.33203125" style="11" customWidth="1"/>
    <col min="3" max="3" width="10.6640625" style="11" customWidth="1"/>
    <col min="4" max="11" width="10" style="11" customWidth="1"/>
    <col min="12" max="12" width="10" style="10" customWidth="1"/>
    <col min="13" max="13" width="33.109375" style="11" customWidth="1"/>
    <col min="14" max="16384" width="8.6640625" style="11"/>
  </cols>
  <sheetData>
    <row r="1" spans="1:13" s="7" customFormat="1" ht="14.4" x14ac:dyDescent="0.3">
      <c r="A1" s="133" t="s">
        <v>33</v>
      </c>
      <c r="B1" s="505" t="s">
        <v>303</v>
      </c>
      <c r="C1" s="505"/>
      <c r="D1" s="505"/>
      <c r="E1" s="505"/>
      <c r="F1" s="505"/>
      <c r="G1" s="505"/>
      <c r="H1" s="505"/>
      <c r="I1" s="505"/>
      <c r="J1" s="505"/>
      <c r="K1" s="505"/>
      <c r="L1" s="6"/>
      <c r="M1" s="299" t="s">
        <v>224</v>
      </c>
    </row>
    <row r="2" spans="1:13" ht="5.0999999999999996" customHeight="1" x14ac:dyDescent="0.3">
      <c r="M2" s="300"/>
    </row>
    <row r="3" spans="1:13" ht="22.8" x14ac:dyDescent="0.3">
      <c r="A3" s="500" t="s">
        <v>21</v>
      </c>
      <c r="B3" s="500" t="s">
        <v>22</v>
      </c>
      <c r="C3" s="126" t="str">
        <f>IF(AND('1'!$C$22="Verslo pradžia",YEAR('1'!$E$22)=YEAR('1'!$C$11)),"Pradžios metai","Ataskaitiniai metai")</f>
        <v>Ataskaitiniai metai</v>
      </c>
      <c r="D3" s="470" t="s">
        <v>11</v>
      </c>
      <c r="E3" s="471"/>
      <c r="F3" s="471"/>
      <c r="G3" s="471"/>
      <c r="H3" s="471"/>
      <c r="I3" s="471"/>
      <c r="J3" s="471"/>
      <c r="K3" s="471"/>
      <c r="M3" s="300"/>
    </row>
    <row r="4" spans="1:13" ht="14.4" thickBot="1" x14ac:dyDescent="0.35">
      <c r="A4" s="501"/>
      <c r="B4" s="501"/>
      <c r="C4" s="364">
        <f>IF(C3="Pradžios metai",YEAR('1'!$E$22),IF((YEAR('1'!$C$11)-1)+COUNT(B4:$B4)&gt;YEAR('1'!$C$18)+Parametrai!$C$15,"-",(YEAR('1'!$C$11)-1)+COUNT(B4:$B4)))</f>
        <v>1899</v>
      </c>
      <c r="D4" s="364">
        <f>IF(D3="Pradžios metai",YEAR('1'!$E$22),IF((YEAR('1'!$C$11)-1)+COUNT($B4:C4)&gt;YEAR('1'!$C$18)+Parametrai!$C$15,"-",(YEAR('1'!$C$11)-1)+COUNT($B4:C4)))</f>
        <v>1900</v>
      </c>
      <c r="E4" s="364">
        <f>IF(E3="Pradžios metai",YEAR('1'!$E$22),IF((YEAR('1'!$C$11)-1)+COUNT($B4:D4)&gt;YEAR('1'!$C$18)+Parametrai!$C$15,"-",(YEAR('1'!$C$11)-1)+COUNT($B4:D4)))</f>
        <v>1901</v>
      </c>
      <c r="F4" s="364">
        <f>IF(F3="Pradžios metai",YEAR('1'!$E$22),IF((YEAR('1'!$C$11)-1)+COUNT($B4:E4)&gt;YEAR('1'!$C$18)+Parametrai!$C$15,"-",(YEAR('1'!$C$11)-1)+COUNT($B4:E4)))</f>
        <v>1902</v>
      </c>
      <c r="G4" s="364">
        <f>IF(G3="Pradžios metai",YEAR('1'!$E$22),IF((YEAR('1'!$C$11)-1)+COUNT($B4:F4)&gt;YEAR('1'!$C$18)+Parametrai!$C$15,"-",(YEAR('1'!$C$11)-1)+COUNT($B4:F4)))</f>
        <v>1903</v>
      </c>
      <c r="H4" s="364" t="str">
        <f>IF(H3="Pradžios metai",YEAR('1'!$E$22),IF((YEAR('1'!$C$11)-1)+COUNT($B4:G4)&gt;YEAR('1'!$C$18)+Parametrai!$C$15,"-",(YEAR('1'!$C$11)-1)+COUNT($B4:G4)))</f>
        <v>-</v>
      </c>
      <c r="I4" s="364" t="str">
        <f>IF(I3="Pradžios metai",YEAR('1'!$E$22),IF((YEAR('1'!$C$11)-1)+COUNT($B4:H4)&gt;YEAR('1'!$C$18)+Parametrai!$C$15,"-",(YEAR('1'!$C$11)-1)+COUNT($B4:H4)))</f>
        <v>-</v>
      </c>
      <c r="J4" s="364" t="str">
        <f>IF(J3="Pradžios metai",YEAR('1'!$E$22),IF((YEAR('1'!$C$11)-1)+COUNT($B4:I4)&gt;YEAR('1'!$C$18)+Parametrai!$C$15,"-",(YEAR('1'!$C$11)-1)+COUNT($B4:I4)))</f>
        <v>-</v>
      </c>
      <c r="K4" s="364" t="str">
        <f>IF(K3="Pradžios metai",YEAR('1'!$E$22),IF((YEAR('1'!$C$11)-1)+COUNT($B4:J4)&gt;YEAR('1'!$C$18)+Parametrai!$C$15,"-",(YEAR('1'!$C$11)-1)+COUNT($B4:J4)))</f>
        <v>-</v>
      </c>
      <c r="M4" s="300"/>
    </row>
    <row r="5" spans="1:13" s="20" customFormat="1" ht="12.6" thickTop="1" x14ac:dyDescent="0.3">
      <c r="A5" s="153" t="s">
        <v>302</v>
      </c>
      <c r="B5" s="154" t="s">
        <v>23</v>
      </c>
      <c r="C5" s="155"/>
      <c r="D5" s="155"/>
      <c r="E5" s="155"/>
      <c r="F5" s="155"/>
      <c r="G5" s="155"/>
      <c r="H5" s="155"/>
      <c r="I5" s="155"/>
      <c r="J5" s="155"/>
      <c r="K5" s="155"/>
      <c r="L5" s="19"/>
      <c r="M5" s="300"/>
    </row>
    <row r="6" spans="1:13" s="20" customFormat="1" ht="12" x14ac:dyDescent="0.3">
      <c r="A6" s="21" t="s">
        <v>507</v>
      </c>
      <c r="B6" s="22" t="s">
        <v>24</v>
      </c>
      <c r="C6" s="368">
        <f>+'2-3'!C14-C16-C24</f>
        <v>0</v>
      </c>
      <c r="D6" s="368">
        <f>+'2-3'!D14-D16-D24</f>
        <v>0</v>
      </c>
      <c r="E6" s="368">
        <f>+'2-3'!E14-E16-E24</f>
        <v>0</v>
      </c>
      <c r="F6" s="368">
        <f>+'2-3'!F14-F16-F24</f>
        <v>0</v>
      </c>
      <c r="G6" s="368">
        <f>+'2-3'!G14-G16-G24</f>
        <v>0</v>
      </c>
      <c r="H6" s="368">
        <f>+'2-3'!H14-H16-H24</f>
        <v>0</v>
      </c>
      <c r="I6" s="368">
        <f>+'2-3'!I14-I16-I24</f>
        <v>0</v>
      </c>
      <c r="J6" s="368">
        <f>+'2-3'!J14-J16-J24</f>
        <v>0</v>
      </c>
      <c r="K6" s="368">
        <f>+'2-3'!K14-K16-K24</f>
        <v>0</v>
      </c>
      <c r="L6" s="19"/>
      <c r="M6" s="267" t="s">
        <v>865</v>
      </c>
    </row>
    <row r="7" spans="1:13" s="20" customFormat="1" ht="12" x14ac:dyDescent="0.3">
      <c r="A7" s="21" t="s">
        <v>508</v>
      </c>
      <c r="B7" s="337"/>
      <c r="C7" s="338"/>
      <c r="D7" s="329"/>
      <c r="E7" s="329"/>
      <c r="F7" s="329"/>
      <c r="G7" s="329"/>
      <c r="H7" s="329"/>
      <c r="I7" s="329"/>
      <c r="J7" s="329"/>
      <c r="K7" s="329"/>
      <c r="L7" s="19"/>
      <c r="M7" s="300"/>
    </row>
    <row r="8" spans="1:13" s="20" customFormat="1" ht="12" x14ac:dyDescent="0.3">
      <c r="A8" s="21" t="s">
        <v>509</v>
      </c>
      <c r="B8" s="337"/>
      <c r="C8" s="338"/>
      <c r="D8" s="329"/>
      <c r="E8" s="329"/>
      <c r="F8" s="329"/>
      <c r="G8" s="329"/>
      <c r="H8" s="329"/>
      <c r="I8" s="329"/>
      <c r="J8" s="329"/>
      <c r="K8" s="329"/>
      <c r="L8" s="19"/>
      <c r="M8" s="300"/>
    </row>
    <row r="9" spans="1:13" s="20" customFormat="1" ht="12" x14ac:dyDescent="0.3">
      <c r="A9" s="21" t="s">
        <v>510</v>
      </c>
      <c r="B9" s="337"/>
      <c r="C9" s="338"/>
      <c r="D9" s="329"/>
      <c r="E9" s="329"/>
      <c r="F9" s="329"/>
      <c r="G9" s="329"/>
      <c r="H9" s="329"/>
      <c r="I9" s="329"/>
      <c r="J9" s="329"/>
      <c r="K9" s="329"/>
      <c r="L9" s="19"/>
      <c r="M9" s="300"/>
    </row>
    <row r="10" spans="1:13" s="20" customFormat="1" ht="12" x14ac:dyDescent="0.3">
      <c r="A10" s="21" t="s">
        <v>511</v>
      </c>
      <c r="B10" s="337"/>
      <c r="C10" s="338"/>
      <c r="D10" s="329"/>
      <c r="E10" s="329"/>
      <c r="F10" s="329"/>
      <c r="G10" s="329"/>
      <c r="H10" s="329"/>
      <c r="I10" s="329"/>
      <c r="J10" s="329"/>
      <c r="K10" s="329"/>
      <c r="L10" s="19"/>
      <c r="M10" s="300"/>
    </row>
    <row r="11" spans="1:13" s="20" customFormat="1" ht="12" x14ac:dyDescent="0.3">
      <c r="A11" s="21" t="s">
        <v>512</v>
      </c>
      <c r="B11" s="337"/>
      <c r="C11" s="338"/>
      <c r="D11" s="329"/>
      <c r="E11" s="329"/>
      <c r="F11" s="329"/>
      <c r="G11" s="329"/>
      <c r="H11" s="329"/>
      <c r="I11" s="329"/>
      <c r="J11" s="329"/>
      <c r="K11" s="329"/>
      <c r="L11" s="19"/>
      <c r="M11" s="300"/>
    </row>
    <row r="12" spans="1:13" s="20" customFormat="1" ht="24" x14ac:dyDescent="0.3">
      <c r="A12" s="21" t="s">
        <v>513</v>
      </c>
      <c r="B12" s="22" t="s">
        <v>25</v>
      </c>
      <c r="C12" s="368">
        <f>'6'!D66-C23</f>
        <v>0</v>
      </c>
      <c r="D12" s="368">
        <f>'6'!E66-D23</f>
        <v>0</v>
      </c>
      <c r="E12" s="368">
        <f>'6'!F66-E23</f>
        <v>0</v>
      </c>
      <c r="F12" s="368">
        <f>'6'!G66-F23</f>
        <v>0</v>
      </c>
      <c r="G12" s="368">
        <f>'6'!H66-G23</f>
        <v>0</v>
      </c>
      <c r="H12" s="368">
        <f>'6'!I66-H23</f>
        <v>0</v>
      </c>
      <c r="I12" s="368">
        <f>'6'!J66-I23</f>
        <v>0</v>
      </c>
      <c r="J12" s="368">
        <f>'6'!K66-J23</f>
        <v>0</v>
      </c>
      <c r="K12" s="368">
        <f>'6'!L66-K23</f>
        <v>0</v>
      </c>
      <c r="L12" s="19"/>
      <c r="M12" s="267" t="s">
        <v>866</v>
      </c>
    </row>
    <row r="13" spans="1:13" s="20" customFormat="1" ht="24" x14ac:dyDescent="0.3">
      <c r="A13" s="21" t="s">
        <v>514</v>
      </c>
      <c r="B13" s="22" t="s">
        <v>26</v>
      </c>
      <c r="C13" s="339"/>
      <c r="D13" s="339"/>
      <c r="E13" s="339"/>
      <c r="F13" s="339"/>
      <c r="G13" s="339"/>
      <c r="H13" s="339"/>
      <c r="I13" s="339"/>
      <c r="J13" s="339"/>
      <c r="K13" s="339"/>
      <c r="L13" s="19"/>
      <c r="M13" s="267"/>
    </row>
    <row r="14" spans="1:13" s="20" customFormat="1" ht="12.6" thickBot="1" x14ac:dyDescent="0.35">
      <c r="A14" s="104" t="s">
        <v>515</v>
      </c>
      <c r="B14" s="195" t="s">
        <v>27</v>
      </c>
      <c r="C14" s="388">
        <f>ROUND(SUM(C6:C13),0)</f>
        <v>0</v>
      </c>
      <c r="D14" s="388">
        <f>ROUND(SUM(D6:D13),0)</f>
        <v>0</v>
      </c>
      <c r="E14" s="388">
        <f t="shared" ref="E14:K14" si="0">ROUND(SUM(E6:E13),0)</f>
        <v>0</v>
      </c>
      <c r="F14" s="388">
        <f t="shared" si="0"/>
        <v>0</v>
      </c>
      <c r="G14" s="388">
        <f t="shared" si="0"/>
        <v>0</v>
      </c>
      <c r="H14" s="388">
        <f t="shared" si="0"/>
        <v>0</v>
      </c>
      <c r="I14" s="388">
        <f t="shared" si="0"/>
        <v>0</v>
      </c>
      <c r="J14" s="388">
        <f t="shared" si="0"/>
        <v>0</v>
      </c>
      <c r="K14" s="388">
        <f t="shared" si="0"/>
        <v>0</v>
      </c>
      <c r="L14" s="19"/>
      <c r="M14" s="300"/>
    </row>
    <row r="15" spans="1:13" s="20" customFormat="1" ht="12.6" thickTop="1" x14ac:dyDescent="0.3">
      <c r="A15" s="153" t="s">
        <v>516</v>
      </c>
      <c r="B15" s="156" t="s">
        <v>28</v>
      </c>
      <c r="C15" s="157"/>
      <c r="D15" s="157"/>
      <c r="E15" s="157"/>
      <c r="F15" s="157"/>
      <c r="G15" s="157"/>
      <c r="H15" s="157"/>
      <c r="I15" s="157"/>
      <c r="J15" s="157"/>
      <c r="K15" s="157"/>
      <c r="L15" s="19"/>
      <c r="M15" s="300"/>
    </row>
    <row r="16" spans="1:13" s="20" customFormat="1" ht="12" x14ac:dyDescent="0.3">
      <c r="A16" s="21" t="s">
        <v>517</v>
      </c>
      <c r="B16" s="22" t="s">
        <v>24</v>
      </c>
      <c r="C16" s="329"/>
      <c r="D16" s="329"/>
      <c r="E16" s="329"/>
      <c r="F16" s="329"/>
      <c r="G16" s="329"/>
      <c r="H16" s="329"/>
      <c r="I16" s="329"/>
      <c r="J16" s="329"/>
      <c r="K16" s="329"/>
      <c r="L16" s="19"/>
      <c r="M16" s="267" t="s">
        <v>333</v>
      </c>
    </row>
    <row r="17" spans="1:26" s="20" customFormat="1" ht="12" x14ac:dyDescent="0.3">
      <c r="A17" s="21" t="s">
        <v>518</v>
      </c>
      <c r="B17" s="337"/>
      <c r="C17" s="329"/>
      <c r="D17" s="329"/>
      <c r="E17" s="329"/>
      <c r="F17" s="329"/>
      <c r="G17" s="329"/>
      <c r="H17" s="329"/>
      <c r="I17" s="329"/>
      <c r="J17" s="329"/>
      <c r="K17" s="329"/>
      <c r="L17" s="19"/>
      <c r="M17" s="300"/>
    </row>
    <row r="18" spans="1:26" s="20" customFormat="1" ht="12" x14ac:dyDescent="0.3">
      <c r="A18" s="21" t="s">
        <v>519</v>
      </c>
      <c r="B18" s="337"/>
      <c r="C18" s="329"/>
      <c r="D18" s="329"/>
      <c r="E18" s="329"/>
      <c r="F18" s="329"/>
      <c r="G18" s="329"/>
      <c r="H18" s="329"/>
      <c r="I18" s="329"/>
      <c r="J18" s="329"/>
      <c r="K18" s="329"/>
      <c r="L18" s="19"/>
      <c r="M18" s="300"/>
    </row>
    <row r="19" spans="1:26" s="20" customFormat="1" ht="12" x14ac:dyDescent="0.3">
      <c r="A19" s="21" t="s">
        <v>520</v>
      </c>
      <c r="B19" s="337"/>
      <c r="C19" s="329"/>
      <c r="D19" s="329"/>
      <c r="E19" s="329"/>
      <c r="F19" s="329"/>
      <c r="G19" s="329"/>
      <c r="H19" s="329"/>
      <c r="I19" s="329"/>
      <c r="J19" s="329"/>
      <c r="K19" s="329"/>
      <c r="L19" s="19"/>
      <c r="M19" s="300"/>
    </row>
    <row r="20" spans="1:26" s="20" customFormat="1" ht="12" x14ac:dyDescent="0.3">
      <c r="A20" s="21" t="s">
        <v>521</v>
      </c>
      <c r="B20" s="337"/>
      <c r="C20" s="340"/>
      <c r="D20" s="340"/>
      <c r="E20" s="340"/>
      <c r="F20" s="340"/>
      <c r="G20" s="340"/>
      <c r="H20" s="340"/>
      <c r="I20" s="340"/>
      <c r="J20" s="340"/>
      <c r="K20" s="340"/>
      <c r="L20" s="19"/>
      <c r="M20" s="300"/>
    </row>
    <row r="21" spans="1:26" s="20" customFormat="1" ht="12.6" thickBot="1" x14ac:dyDescent="0.35">
      <c r="A21" s="104" t="s">
        <v>522</v>
      </c>
      <c r="B21" s="195" t="s">
        <v>29</v>
      </c>
      <c r="C21" s="388">
        <f>ROUND(SUM(C16:C20),0)</f>
        <v>0</v>
      </c>
      <c r="D21" s="388">
        <f t="shared" ref="D21:K21" si="1">ROUND(SUM(D16:D20),0)</f>
        <v>0</v>
      </c>
      <c r="E21" s="388">
        <f t="shared" si="1"/>
        <v>0</v>
      </c>
      <c r="F21" s="388">
        <f t="shared" si="1"/>
        <v>0</v>
      </c>
      <c r="G21" s="388">
        <f t="shared" si="1"/>
        <v>0</v>
      </c>
      <c r="H21" s="388">
        <f t="shared" si="1"/>
        <v>0</v>
      </c>
      <c r="I21" s="388">
        <f t="shared" si="1"/>
        <v>0</v>
      </c>
      <c r="J21" s="388">
        <f t="shared" si="1"/>
        <v>0</v>
      </c>
      <c r="K21" s="388">
        <f t="shared" si="1"/>
        <v>0</v>
      </c>
      <c r="L21" s="19"/>
      <c r="M21" s="300"/>
    </row>
    <row r="22" spans="1:26" s="20" customFormat="1" ht="24" customHeight="1" thickTop="1" x14ac:dyDescent="0.3">
      <c r="A22" s="153" t="s">
        <v>523</v>
      </c>
      <c r="B22" s="156" t="s">
        <v>30</v>
      </c>
      <c r="C22" s="157"/>
      <c r="D22" s="157"/>
      <c r="E22" s="157"/>
      <c r="F22" s="157"/>
      <c r="G22" s="157"/>
      <c r="H22" s="157"/>
      <c r="I22" s="157"/>
      <c r="J22" s="157"/>
      <c r="K22" s="157"/>
      <c r="L22" s="19"/>
      <c r="M22" s="300"/>
    </row>
    <row r="23" spans="1:26" s="20" customFormat="1" ht="24" x14ac:dyDescent="0.3">
      <c r="A23" s="21" t="s">
        <v>524</v>
      </c>
      <c r="B23" s="22" t="s">
        <v>31</v>
      </c>
      <c r="C23" s="329"/>
      <c r="D23" s="329"/>
      <c r="E23" s="329"/>
      <c r="F23" s="329"/>
      <c r="G23" s="329"/>
      <c r="H23" s="329"/>
      <c r="I23" s="329"/>
      <c r="J23" s="329"/>
      <c r="K23" s="329"/>
      <c r="L23" s="19"/>
      <c r="M23" s="300"/>
    </row>
    <row r="24" spans="1:26" s="20" customFormat="1" ht="12" x14ac:dyDescent="0.3">
      <c r="A24" s="21" t="s">
        <v>525</v>
      </c>
      <c r="B24" s="22" t="s">
        <v>24</v>
      </c>
      <c r="C24" s="329"/>
      <c r="D24" s="329"/>
      <c r="E24" s="329"/>
      <c r="F24" s="329"/>
      <c r="G24" s="329"/>
      <c r="H24" s="329"/>
      <c r="I24" s="329"/>
      <c r="J24" s="329"/>
      <c r="K24" s="329"/>
      <c r="L24" s="19"/>
      <c r="M24" s="267" t="s">
        <v>334</v>
      </c>
    </row>
    <row r="25" spans="1:26" s="20" customFormat="1" ht="12" x14ac:dyDescent="0.3">
      <c r="A25" s="21" t="s">
        <v>526</v>
      </c>
      <c r="B25" s="337"/>
      <c r="C25" s="329"/>
      <c r="D25" s="329"/>
      <c r="E25" s="329"/>
      <c r="F25" s="329"/>
      <c r="G25" s="329"/>
      <c r="H25" s="329"/>
      <c r="I25" s="329"/>
      <c r="J25" s="329"/>
      <c r="K25" s="329"/>
      <c r="L25" s="19"/>
      <c r="M25" s="300"/>
      <c r="Z25" s="23"/>
    </row>
    <row r="26" spans="1:26" s="20" customFormat="1" ht="12" x14ac:dyDescent="0.3">
      <c r="A26" s="21" t="s">
        <v>527</v>
      </c>
      <c r="B26" s="337"/>
      <c r="C26" s="329"/>
      <c r="D26" s="329"/>
      <c r="E26" s="329"/>
      <c r="F26" s="329"/>
      <c r="G26" s="329"/>
      <c r="H26" s="329"/>
      <c r="I26" s="329"/>
      <c r="J26" s="329"/>
      <c r="K26" s="329"/>
      <c r="L26" s="19"/>
      <c r="M26" s="300"/>
    </row>
    <row r="27" spans="1:26" s="20" customFormat="1" ht="12" x14ac:dyDescent="0.3">
      <c r="A27" s="21" t="s">
        <v>528</v>
      </c>
      <c r="B27" s="337"/>
      <c r="C27" s="329"/>
      <c r="D27" s="329"/>
      <c r="E27" s="329"/>
      <c r="F27" s="329"/>
      <c r="G27" s="329"/>
      <c r="H27" s="329"/>
      <c r="I27" s="329"/>
      <c r="J27" s="329"/>
      <c r="K27" s="329"/>
      <c r="L27" s="19"/>
      <c r="M27" s="300"/>
    </row>
    <row r="28" spans="1:26" s="20" customFormat="1" ht="12" x14ac:dyDescent="0.3">
      <c r="A28" s="21" t="s">
        <v>529</v>
      </c>
      <c r="B28" s="337"/>
      <c r="C28" s="329"/>
      <c r="D28" s="329"/>
      <c r="E28" s="329"/>
      <c r="F28" s="329"/>
      <c r="G28" s="329"/>
      <c r="H28" s="329"/>
      <c r="I28" s="329"/>
      <c r="J28" s="329"/>
      <c r="K28" s="329"/>
      <c r="L28" s="19"/>
      <c r="M28" s="300"/>
    </row>
    <row r="29" spans="1:26" s="20" customFormat="1" ht="24.6" customHeight="1" thickBot="1" x14ac:dyDescent="0.35">
      <c r="A29" s="104" t="s">
        <v>530</v>
      </c>
      <c r="B29" s="195" t="s">
        <v>32</v>
      </c>
      <c r="C29" s="388">
        <f>ROUND(SUM(C23:C28),0)</f>
        <v>0</v>
      </c>
      <c r="D29" s="388">
        <f t="shared" ref="D29:K29" si="2">ROUND(SUM(D23:D28),0)</f>
        <v>0</v>
      </c>
      <c r="E29" s="388">
        <f t="shared" si="2"/>
        <v>0</v>
      </c>
      <c r="F29" s="388">
        <f t="shared" si="2"/>
        <v>0</v>
      </c>
      <c r="G29" s="388">
        <f t="shared" si="2"/>
        <v>0</v>
      </c>
      <c r="H29" s="388">
        <f t="shared" si="2"/>
        <v>0</v>
      </c>
      <c r="I29" s="388">
        <f t="shared" si="2"/>
        <v>0</v>
      </c>
      <c r="J29" s="388">
        <f t="shared" si="2"/>
        <v>0</v>
      </c>
      <c r="K29" s="388">
        <f t="shared" si="2"/>
        <v>0</v>
      </c>
      <c r="L29" s="19"/>
      <c r="M29" s="300"/>
    </row>
    <row r="30" spans="1:26" ht="23.4" thickTop="1" x14ac:dyDescent="0.3">
      <c r="A30" s="153" t="s">
        <v>821</v>
      </c>
      <c r="B30" s="156" t="s">
        <v>826</v>
      </c>
      <c r="C30" s="157"/>
      <c r="D30" s="157"/>
      <c r="E30" s="157"/>
      <c r="F30" s="157"/>
      <c r="G30" s="157"/>
      <c r="H30" s="157"/>
      <c r="I30" s="157"/>
      <c r="J30" s="157"/>
      <c r="K30" s="157"/>
      <c r="M30" s="300"/>
    </row>
    <row r="31" spans="1:26" x14ac:dyDescent="0.3">
      <c r="A31" s="21" t="s">
        <v>822</v>
      </c>
      <c r="B31" s="13" t="s">
        <v>439</v>
      </c>
      <c r="C31" s="368">
        <f>'8'!D25+'8'!D35</f>
        <v>0</v>
      </c>
      <c r="D31" s="368">
        <f>'8'!E25+'8'!E35</f>
        <v>0</v>
      </c>
      <c r="E31" s="368">
        <f>'8'!J25+'8'!J35</f>
        <v>0</v>
      </c>
      <c r="F31" s="368">
        <f>'8'!K25+'8'!K35</f>
        <v>0</v>
      </c>
      <c r="G31" s="368">
        <f>'8'!L25+'8'!L35</f>
        <v>0</v>
      </c>
      <c r="H31" s="368">
        <f>'8'!M25+'8'!M35</f>
        <v>0</v>
      </c>
      <c r="I31" s="368">
        <f>'8'!N25+'8'!N35</f>
        <v>0</v>
      </c>
      <c r="J31" s="368">
        <f>'8'!O25+'8'!O35</f>
        <v>0</v>
      </c>
      <c r="K31" s="368">
        <f>'8'!P25+'8'!P35</f>
        <v>0</v>
      </c>
      <c r="M31" s="300"/>
    </row>
    <row r="32" spans="1:26" x14ac:dyDescent="0.3">
      <c r="A32" s="271" t="str">
        <f>IF(Parametrai!$C$9="Asociacijos ir viešosios įstaigos","7.5.","")</f>
        <v>7.5.</v>
      </c>
      <c r="B32" s="271" t="str">
        <f>IF(Parametrai!$C$9="Asociacijos ir viešosios įstaigos","Veiklos sąnaudos iš viso","")</f>
        <v>Veiklos sąnaudos iš viso</v>
      </c>
      <c r="C32" s="389">
        <f>IF(Parametrai!$C$9="Asociacijos ir viešosios įstaigos",SUM(C21,C29,C31),"")</f>
        <v>0</v>
      </c>
      <c r="D32" s="389">
        <f>IF(Parametrai!$C$9="Asociacijos ir viešosios įstaigos",SUM(D21,D29,D31),"")</f>
        <v>0</v>
      </c>
      <c r="E32" s="389">
        <f>IF(Parametrai!$C$9="Asociacijos ir viešosios įstaigos",SUM(E21,E29,E31),"")</f>
        <v>0</v>
      </c>
      <c r="F32" s="389">
        <f>IF(Parametrai!$C$9="Asociacijos ir viešosios įstaigos",SUM(F21,F29,F31),"")</f>
        <v>0</v>
      </c>
      <c r="G32" s="389">
        <f>IF(Parametrai!$C$9="Asociacijos ir viešosios įstaigos",SUM(G21,G29,G31),"")</f>
        <v>0</v>
      </c>
      <c r="H32" s="389">
        <f>IF(Parametrai!$C$9="Asociacijos ir viešosios įstaigos",SUM(H21,H29,H31),"")</f>
        <v>0</v>
      </c>
      <c r="I32" s="389">
        <f>IF(Parametrai!$C$9="Asociacijos ir viešosios įstaigos",SUM(I21,I29,I31),"")</f>
        <v>0</v>
      </c>
      <c r="J32" s="389">
        <f>IF(Parametrai!$C$9="Asociacijos ir viešosios įstaigos",SUM(J21,J29,J31),"")</f>
        <v>0</v>
      </c>
      <c r="K32" s="389">
        <f>IF(Parametrai!$C$9="Asociacijos ir viešosios įstaigos",SUM(K21,K29,K31),"")</f>
        <v>0</v>
      </c>
      <c r="M32" s="300"/>
    </row>
    <row r="33" spans="1:11" x14ac:dyDescent="0.3">
      <c r="A33" s="20"/>
      <c r="B33" s="20"/>
      <c r="C33" s="20"/>
      <c r="D33" s="20"/>
      <c r="E33" s="20"/>
      <c r="F33" s="20"/>
      <c r="G33" s="20"/>
      <c r="H33" s="20"/>
      <c r="I33" s="20"/>
      <c r="J33" s="20"/>
      <c r="K33" s="20"/>
    </row>
    <row r="34" spans="1:11" x14ac:dyDescent="0.3">
      <c r="C34" s="264"/>
    </row>
    <row r="35" spans="1:11" x14ac:dyDescent="0.3">
      <c r="C35" s="264"/>
    </row>
  </sheetData>
  <sheetProtection algorithmName="SHA-512" hashValue="2ji07QpIfmIEkOTU1iyJ399W0ZTUaCQJJ2uxHTEKf9LR1UTjakICNAuaJb9psy66pdnibwIJwlesJKGrLXt0Xw==" saltValue="coLMlTdQx27YQeFfeSxgeQ==" spinCount="100000" sheet="1" objects="1" scenarios="1" formatRows="0" insertRows="0"/>
  <mergeCells count="4">
    <mergeCell ref="B1:K1"/>
    <mergeCell ref="A3:A4"/>
    <mergeCell ref="B3:B4"/>
    <mergeCell ref="D3:K3"/>
  </mergeCells>
  <phoneticPr fontId="12" type="noConversion"/>
  <conditionalFormatting sqref="A32:K32">
    <cfRule type="expression" dxfId="50" priority="2">
      <formula>$A$32&lt;&gt;""</formula>
    </cfRule>
  </conditionalFormatting>
  <conditionalFormatting sqref="C4:K4">
    <cfRule type="expression" dxfId="49" priority="4">
      <formula>C4="-"</formula>
    </cfRule>
  </conditionalFormatting>
  <conditionalFormatting sqref="C6:K6 C12:K12 C31:K32">
    <cfRule type="cellIs" dxfId="47" priority="9" operator="lessThan">
      <formula>0</formula>
    </cfRule>
  </conditionalFormatting>
  <conditionalFormatting sqref="C13:K13">
    <cfRule type="expression" dxfId="46" priority="8">
      <formula>ABS(C$13)&gt;C$12</formula>
    </cfRule>
  </conditionalFormatting>
  <dataValidations count="3">
    <dataValidation type="whole" operator="lessThan" allowBlank="1" showInputMessage="1" showErrorMessage="1" error="Įveskite neigiamą skaičių" prompt="Įveskite neigiamą skaičių" sqref="C13" xr:uid="{7BD18C5C-AF3A-4139-9954-5BC4ABA495C0}">
      <formula1>0</formula1>
    </dataValidation>
    <dataValidation type="whole" operator="lessThan" allowBlank="1" showInputMessage="1" showErrorMessage="1" error="įveskskite neigiamą skaičių" prompt="Įveskite neigiamą skaičių" sqref="D13:K13" xr:uid="{00000000-0002-0000-0600-000001000000}">
      <formula1>0</formula1>
    </dataValidation>
    <dataValidation type="custom" operator="lessThan" allowBlank="1" showInputMessage="1" showErrorMessage="1" error="Įvedėte didesnę sumą nei yra nusidėvėjimo sąnaudų iš viso" sqref="C23:K23" xr:uid="{00000000-0002-0000-0600-000000000000}">
      <formula1>SUM(C12:C13)&gt;=0</formula1>
    </dataValidation>
  </dataValidations>
  <pageMargins left="0.70866141732283472" right="0.70866141732283472" top="0.74803149606299213" bottom="0.74803149606299213" header="0.31496062992125984" footer="0.31496062992125984"/>
  <pageSetup paperSize="9" pageOrder="overThenDown" orientation="landscape" blackAndWhite="1" horizontalDpi="4294967293" verticalDpi="4294967293" r:id="rId1"/>
  <extLst>
    <ext xmlns:x14="http://schemas.microsoft.com/office/spreadsheetml/2009/9/main" uri="{78C0D931-6437-407d-A8EE-F0AAD7539E65}">
      <x14:conditionalFormattings>
        <x14:conditionalFormatting xmlns:xm="http://schemas.microsoft.com/office/excel/2006/main">
          <x14:cfRule type="expression" priority="5" id="{B614B750-D4D6-4D93-8A2E-1C249AAF3401}">
            <xm:f>AND(C4&gt;=YEAR(Parametrai!$C$13),C4&lt;=MIN(YEAR('1'!$C$18),YEAR(EOMONTH(Parametrai!$C$13,Parametrai!$C$14)),IF(Parametrai!$C$16&lt;&gt;0,YEAR(Parametrai!$C$16),YEAR(EOMONTH(Parametrai!$C$13,Parametrai!$C$14)))))</xm:f>
            <x14:dxf>
              <fill>
                <patternFill>
                  <bgColor rgb="FFFFF0D2"/>
                </patternFill>
              </fill>
            </x14:dxf>
          </x14:cfRule>
          <xm:sqref>C4:K4</xm:sqref>
        </x14:conditionalFormatting>
      </x14:conditionalFormattings>
    </ext>
  </extLst>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Lapas11">
    <tabColor theme="9" tint="-0.249977111117893"/>
  </sheetPr>
  <dimension ref="A1:R41"/>
  <sheetViews>
    <sheetView topLeftCell="B1" zoomScale="130" zoomScaleNormal="130" workbookViewId="0">
      <selection activeCell="E6" sqref="E6:K6"/>
    </sheetView>
  </sheetViews>
  <sheetFormatPr defaultColWidth="8.6640625" defaultRowHeight="13.8" x14ac:dyDescent="0.3"/>
  <cols>
    <col min="1" max="1" width="2.6640625" style="11" hidden="1" customWidth="1"/>
    <col min="2" max="2" width="6.44140625" style="11" customWidth="1"/>
    <col min="3" max="3" width="30.5546875" style="11" customWidth="1"/>
    <col min="4" max="14" width="10" style="11" customWidth="1"/>
    <col min="15" max="15" width="10.44140625" style="11" customWidth="1"/>
    <col min="16" max="16" width="10" style="11" customWidth="1"/>
    <col min="17" max="17" width="8.6640625" style="11"/>
    <col min="18" max="18" width="45.88671875" style="11" customWidth="1"/>
    <col min="19" max="16384" width="8.6640625" style="11"/>
  </cols>
  <sheetData>
    <row r="1" spans="1:18" s="7" customFormat="1" ht="14.25" customHeight="1" x14ac:dyDescent="0.3">
      <c r="B1" s="133" t="s">
        <v>35</v>
      </c>
      <c r="C1" s="532" t="s">
        <v>310</v>
      </c>
      <c r="D1" s="532"/>
      <c r="E1" s="532"/>
      <c r="F1" s="532"/>
      <c r="G1" s="532"/>
      <c r="H1" s="532"/>
      <c r="I1" s="532"/>
      <c r="J1" s="532"/>
      <c r="K1" s="532"/>
      <c r="L1" s="532"/>
      <c r="M1" s="532"/>
      <c r="N1" s="532"/>
      <c r="O1" s="532"/>
      <c r="P1" s="532"/>
      <c r="R1" s="305" t="s">
        <v>224</v>
      </c>
    </row>
    <row r="2" spans="1:18" s="3" customFormat="1" ht="12" customHeight="1" x14ac:dyDescent="0.3">
      <c r="R2" s="300"/>
    </row>
    <row r="3" spans="1:18" s="3" customFormat="1" x14ac:dyDescent="0.3">
      <c r="B3" s="221" t="s">
        <v>797</v>
      </c>
      <c r="C3" s="222" t="s">
        <v>309</v>
      </c>
      <c r="D3" s="222"/>
      <c r="E3" s="222"/>
      <c r="F3" s="222"/>
      <c r="G3" s="222"/>
      <c r="H3" s="222"/>
      <c r="I3" s="222"/>
      <c r="J3" s="223"/>
      <c r="K3" s="223"/>
      <c r="L3" s="223"/>
      <c r="M3" s="223"/>
      <c r="N3" s="223"/>
      <c r="O3" s="223"/>
      <c r="P3" s="224"/>
      <c r="R3" s="267" t="s">
        <v>871</v>
      </c>
    </row>
    <row r="4" spans="1:18" s="3" customFormat="1" x14ac:dyDescent="0.3">
      <c r="A4" s="225"/>
      <c r="B4" s="533" t="s">
        <v>34</v>
      </c>
      <c r="C4" s="535" t="s">
        <v>74</v>
      </c>
      <c r="D4" s="535"/>
      <c r="E4" s="539" t="s">
        <v>315</v>
      </c>
      <c r="F4" s="540"/>
      <c r="G4" s="540"/>
      <c r="H4" s="540"/>
      <c r="I4" s="540"/>
      <c r="J4" s="540"/>
      <c r="K4" s="541"/>
      <c r="L4" s="535" t="s">
        <v>316</v>
      </c>
      <c r="M4" s="537" t="s">
        <v>317</v>
      </c>
      <c r="N4" s="537" t="s">
        <v>318</v>
      </c>
      <c r="O4" s="537" t="s">
        <v>75</v>
      </c>
      <c r="P4" s="159" t="s">
        <v>314</v>
      </c>
      <c r="R4" s="300"/>
    </row>
    <row r="5" spans="1:18" s="3" customFormat="1" ht="14.4" thickBot="1" x14ac:dyDescent="0.35">
      <c r="A5" s="226"/>
      <c r="B5" s="534"/>
      <c r="C5" s="536"/>
      <c r="D5" s="536"/>
      <c r="E5" s="542"/>
      <c r="F5" s="543"/>
      <c r="G5" s="543"/>
      <c r="H5" s="543"/>
      <c r="I5" s="543"/>
      <c r="J5" s="543"/>
      <c r="K5" s="544"/>
      <c r="L5" s="536"/>
      <c r="M5" s="538"/>
      <c r="N5" s="538"/>
      <c r="O5" s="538"/>
      <c r="P5" s="371">
        <f>DATE(D15,12,31)</f>
        <v>693962</v>
      </c>
      <c r="R5" s="300"/>
    </row>
    <row r="6" spans="1:18" s="3" customFormat="1" ht="14.4" thickTop="1" x14ac:dyDescent="0.3">
      <c r="B6" s="38" t="s">
        <v>304</v>
      </c>
      <c r="C6" s="524"/>
      <c r="D6" s="524"/>
      <c r="E6" s="529"/>
      <c r="F6" s="530"/>
      <c r="G6" s="530"/>
      <c r="H6" s="530"/>
      <c r="I6" s="530"/>
      <c r="J6" s="530"/>
      <c r="K6" s="531"/>
      <c r="L6" s="341"/>
      <c r="M6" s="341"/>
      <c r="N6" s="342"/>
      <c r="O6" s="343"/>
      <c r="P6" s="342"/>
      <c r="R6" s="300"/>
    </row>
    <row r="7" spans="1:18" s="3" customFormat="1" x14ac:dyDescent="0.3">
      <c r="B7" s="39" t="s">
        <v>305</v>
      </c>
      <c r="C7" s="525"/>
      <c r="D7" s="525"/>
      <c r="E7" s="526"/>
      <c r="F7" s="527"/>
      <c r="G7" s="527"/>
      <c r="H7" s="527"/>
      <c r="I7" s="527"/>
      <c r="J7" s="527"/>
      <c r="K7" s="528"/>
      <c r="L7" s="344"/>
      <c r="M7" s="344"/>
      <c r="N7" s="345"/>
      <c r="O7" s="332"/>
      <c r="P7" s="346"/>
      <c r="R7" s="300"/>
    </row>
    <row r="8" spans="1:18" s="3" customFormat="1" x14ac:dyDescent="0.3">
      <c r="B8" s="39" t="s">
        <v>306</v>
      </c>
      <c r="C8" s="525"/>
      <c r="D8" s="525"/>
      <c r="E8" s="526"/>
      <c r="F8" s="527"/>
      <c r="G8" s="527"/>
      <c r="H8" s="527"/>
      <c r="I8" s="527"/>
      <c r="J8" s="527"/>
      <c r="K8" s="528"/>
      <c r="L8" s="344"/>
      <c r="M8" s="344"/>
      <c r="N8" s="345"/>
      <c r="O8" s="332"/>
      <c r="P8" s="346"/>
      <c r="R8" s="300"/>
    </row>
    <row r="9" spans="1:18" s="3" customFormat="1" x14ac:dyDescent="0.3">
      <c r="B9" s="39" t="s">
        <v>307</v>
      </c>
      <c r="C9" s="525"/>
      <c r="D9" s="525"/>
      <c r="E9" s="526"/>
      <c r="F9" s="527"/>
      <c r="G9" s="527"/>
      <c r="H9" s="527"/>
      <c r="I9" s="527"/>
      <c r="J9" s="527"/>
      <c r="K9" s="528"/>
      <c r="L9" s="344"/>
      <c r="M9" s="344"/>
      <c r="N9" s="345"/>
      <c r="O9" s="332"/>
      <c r="P9" s="346"/>
      <c r="R9" s="300"/>
    </row>
    <row r="10" spans="1:18" s="3" customFormat="1" ht="15" customHeight="1" thickBot="1" x14ac:dyDescent="0.35">
      <c r="A10" s="106"/>
      <c r="B10" s="105" t="s">
        <v>308</v>
      </c>
      <c r="C10" s="511"/>
      <c r="D10" s="511"/>
      <c r="E10" s="512"/>
      <c r="F10" s="513"/>
      <c r="G10" s="513"/>
      <c r="H10" s="513"/>
      <c r="I10" s="513"/>
      <c r="J10" s="513"/>
      <c r="K10" s="514"/>
      <c r="L10" s="347"/>
      <c r="M10" s="347"/>
      <c r="N10" s="348"/>
      <c r="O10" s="349"/>
      <c r="P10" s="350"/>
      <c r="R10" s="300"/>
    </row>
    <row r="11" spans="1:18" s="3" customFormat="1" ht="15.6" customHeight="1" thickTop="1" thickBot="1" x14ac:dyDescent="0.35">
      <c r="A11" s="106"/>
      <c r="B11" s="515" t="s">
        <v>36</v>
      </c>
      <c r="C11" s="516"/>
      <c r="D11" s="516"/>
      <c r="E11" s="160"/>
      <c r="F11" s="160"/>
      <c r="G11" s="160"/>
      <c r="H11" s="160"/>
      <c r="I11" s="160"/>
      <c r="J11" s="160"/>
      <c r="K11" s="160"/>
      <c r="L11" s="160"/>
      <c r="M11" s="160"/>
      <c r="N11" s="160"/>
      <c r="O11" s="160"/>
      <c r="P11" s="372">
        <f>SUM(P6:P10)</f>
        <v>0</v>
      </c>
      <c r="Q11" s="40"/>
      <c r="R11" s="267" t="str">
        <f>IF(P11&lt;&gt;D23+D33,"Klaida! Nesutampa paskolų ir lizingo įsipareigojimų likučiai 8.1. lentelėje su likučių suma 8.2. ir 8.3. lentelėse","ok")</f>
        <v>ok</v>
      </c>
    </row>
    <row r="12" spans="1:18" s="3" customFormat="1" ht="14.4" thickTop="1" x14ac:dyDescent="0.3">
      <c r="R12" s="300"/>
    </row>
    <row r="13" spans="1:18" s="7" customFormat="1" x14ac:dyDescent="0.3">
      <c r="A13" s="113"/>
      <c r="B13" s="412" t="s">
        <v>798</v>
      </c>
      <c r="C13" s="521" t="s">
        <v>311</v>
      </c>
      <c r="D13" s="522"/>
      <c r="E13" s="522"/>
      <c r="F13" s="522"/>
      <c r="G13" s="522"/>
      <c r="H13" s="522"/>
      <c r="I13" s="522"/>
      <c r="J13" s="522"/>
      <c r="K13" s="522"/>
      <c r="L13" s="523"/>
      <c r="N13" s="267" t="s">
        <v>324</v>
      </c>
    </row>
    <row r="14" spans="1:18" ht="22.8" x14ac:dyDescent="0.3">
      <c r="A14" s="217"/>
      <c r="B14" s="517" t="s">
        <v>34</v>
      </c>
      <c r="C14" s="517" t="s">
        <v>76</v>
      </c>
      <c r="D14" s="129" t="str">
        <f>IF(AND('1'!$C$22="Verslo pradžia",YEAR('1'!$E$22)=YEAR('1'!$C$11)),"Pradžios metai","Ataskaitiniai metai")</f>
        <v>Ataskaitiniai metai</v>
      </c>
      <c r="E14" s="470" t="s">
        <v>11</v>
      </c>
      <c r="F14" s="471"/>
      <c r="G14" s="471"/>
      <c r="H14" s="471"/>
      <c r="I14" s="471"/>
      <c r="J14" s="471"/>
      <c r="K14" s="471"/>
      <c r="L14" s="520"/>
      <c r="N14" s="300"/>
    </row>
    <row r="15" spans="1:18" ht="14.4" thickBot="1" x14ac:dyDescent="0.35">
      <c r="A15" s="218"/>
      <c r="B15" s="517"/>
      <c r="C15" s="517"/>
      <c r="D15" s="413">
        <f>IF(D14="Pradžios metai",YEAR('1'!$E$22),IF((YEAR('1'!$C$11)-1)+COUNT($C15:C15)&gt;YEAR('1'!$C$18)+Parametrai!$C$15,"-",(YEAR('1'!$C$11)-1)+COUNT($C15:C15)))</f>
        <v>1899</v>
      </c>
      <c r="E15" s="413">
        <f>IF(E14="Pradžios metai",YEAR('1'!$E$22),IF((YEAR('1'!$C$11)-1)+COUNT($C15:D15)&gt;YEAR('1'!$C$18)+Parametrai!$C$15,"-",(YEAR('1'!$C$11)-1)+COUNT($C15:D15)))</f>
        <v>1900</v>
      </c>
      <c r="F15" s="413">
        <f>IF(F14="Pradžios metai",YEAR('1'!$E$22),IF((YEAR('1'!$C$11)-1)+COUNT($C15:E15)&gt;YEAR('1'!$C$18)+Parametrai!$C$15,"-",(YEAR('1'!$C$11)-1)+COUNT($C15:E15)))</f>
        <v>1901</v>
      </c>
      <c r="G15" s="413">
        <f>IF(G14="Pradžios metai",YEAR('1'!$E$22),IF((YEAR('1'!$C$11)-1)+COUNT($C15:F15)&gt;YEAR('1'!$C$18)+Parametrai!$C$15,"-",(YEAR('1'!$C$11)-1)+COUNT($C15:F15)))</f>
        <v>1902</v>
      </c>
      <c r="H15" s="413">
        <f>IF(H14="Pradžios metai",YEAR('1'!$E$22),IF((YEAR('1'!$C$11)-1)+COUNT($C15:G15)&gt;YEAR('1'!$C$18)+Parametrai!$C$15,"-",(YEAR('1'!$C$11)-1)+COUNT($C15:G15)))</f>
        <v>1903</v>
      </c>
      <c r="I15" s="413" t="str">
        <f>IF(I14="Pradžios metai",YEAR('1'!$E$22),IF((YEAR('1'!$C$11)-1)+COUNT($C15:H15)&gt;YEAR('1'!$C$18)+Parametrai!$C$15,"-",(YEAR('1'!$C$11)-1)+COUNT($C15:H15)))</f>
        <v>-</v>
      </c>
      <c r="J15" s="413" t="str">
        <f>IF(J14="Pradžios metai",YEAR('1'!$E$22),IF((YEAR('1'!$C$11)-1)+COUNT($C15:I15)&gt;YEAR('1'!$C$18)+Parametrai!$C$15,"-",(YEAR('1'!$C$11)-1)+COUNT($C15:I15)))</f>
        <v>-</v>
      </c>
      <c r="K15" s="413" t="str">
        <f>IF(K14="Pradžios metai",YEAR('1'!$E$22),IF((YEAR('1'!$C$11)-1)+COUNT($C15:J15)&gt;YEAR('1'!$C$18)+Parametrai!$C$15,"-",(YEAR('1'!$C$11)-1)+COUNT($C15:J15)))</f>
        <v>-</v>
      </c>
      <c r="L15" s="413" t="str">
        <f>IF(L14="Pradžios metai",YEAR('1'!$E$22),IF((YEAR('1'!$C$11)-1)+COUNT($C15:K15)&gt;YEAR('1'!$C$18)+Parametrai!$C$15,"-",(YEAR('1'!$C$11)-1)+COUNT($C15:K15)))</f>
        <v>-</v>
      </c>
      <c r="N15" s="300"/>
    </row>
    <row r="16" spans="1:18" ht="14.4" thickTop="1" x14ac:dyDescent="0.3">
      <c r="B16" s="21" t="s">
        <v>788</v>
      </c>
      <c r="C16" s="13" t="s">
        <v>77</v>
      </c>
      <c r="D16" s="391">
        <f>+D17+D18</f>
        <v>0</v>
      </c>
      <c r="E16" s="391">
        <f>D23</f>
        <v>0</v>
      </c>
      <c r="F16" s="391">
        <f t="shared" ref="F16:L16" si="0">E23</f>
        <v>0</v>
      </c>
      <c r="G16" s="391">
        <f t="shared" si="0"/>
        <v>0</v>
      </c>
      <c r="H16" s="391">
        <f t="shared" si="0"/>
        <v>0</v>
      </c>
      <c r="I16" s="391">
        <f t="shared" si="0"/>
        <v>0</v>
      </c>
      <c r="J16" s="391">
        <f t="shared" si="0"/>
        <v>0</v>
      </c>
      <c r="K16" s="391">
        <f t="shared" si="0"/>
        <v>0</v>
      </c>
      <c r="L16" s="391">
        <f t="shared" si="0"/>
        <v>0</v>
      </c>
      <c r="N16" s="300"/>
    </row>
    <row r="17" spans="1:18" ht="21.75" customHeight="1" x14ac:dyDescent="0.3">
      <c r="B17" s="21" t="s">
        <v>789</v>
      </c>
      <c r="C17" s="13" t="s">
        <v>78</v>
      </c>
      <c r="D17" s="351"/>
      <c r="E17" s="391">
        <f>+D17+D19-D21</f>
        <v>0</v>
      </c>
      <c r="F17" s="391">
        <f t="shared" ref="F17:L17" si="1">+E17+E19-E21</f>
        <v>0</v>
      </c>
      <c r="G17" s="391">
        <f t="shared" si="1"/>
        <v>0</v>
      </c>
      <c r="H17" s="391">
        <f t="shared" si="1"/>
        <v>0</v>
      </c>
      <c r="I17" s="391">
        <f t="shared" si="1"/>
        <v>0</v>
      </c>
      <c r="J17" s="391">
        <f t="shared" si="1"/>
        <v>0</v>
      </c>
      <c r="K17" s="391">
        <f t="shared" si="1"/>
        <v>0</v>
      </c>
      <c r="L17" s="391">
        <f t="shared" si="1"/>
        <v>0</v>
      </c>
      <c r="N17" s="518" t="s">
        <v>870</v>
      </c>
      <c r="O17" s="518"/>
      <c r="P17" s="518"/>
    </row>
    <row r="18" spans="1:18" ht="21.75" customHeight="1" x14ac:dyDescent="0.3">
      <c r="B18" s="21" t="s">
        <v>790</v>
      </c>
      <c r="C18" s="21" t="s">
        <v>79</v>
      </c>
      <c r="D18" s="351"/>
      <c r="E18" s="391">
        <f>+D18-D22+D20</f>
        <v>0</v>
      </c>
      <c r="F18" s="391">
        <f t="shared" ref="F18:L18" si="2">+E18-E22+E20</f>
        <v>0</v>
      </c>
      <c r="G18" s="391">
        <f t="shared" si="2"/>
        <v>0</v>
      </c>
      <c r="H18" s="391">
        <f t="shared" si="2"/>
        <v>0</v>
      </c>
      <c r="I18" s="391">
        <f t="shared" si="2"/>
        <v>0</v>
      </c>
      <c r="J18" s="391">
        <f t="shared" si="2"/>
        <v>0</v>
      </c>
      <c r="K18" s="391">
        <f t="shared" si="2"/>
        <v>0</v>
      </c>
      <c r="L18" s="391">
        <f t="shared" si="2"/>
        <v>0</v>
      </c>
      <c r="N18" s="519" t="s">
        <v>869</v>
      </c>
      <c r="O18" s="519"/>
      <c r="P18" s="519"/>
    </row>
    <row r="19" spans="1:18" x14ac:dyDescent="0.3">
      <c r="B19" s="21" t="s">
        <v>791</v>
      </c>
      <c r="C19" s="21" t="s">
        <v>312</v>
      </c>
      <c r="D19" s="351"/>
      <c r="E19" s="351"/>
      <c r="F19" s="351"/>
      <c r="G19" s="351"/>
      <c r="H19" s="351"/>
      <c r="I19" s="351"/>
      <c r="J19" s="351"/>
      <c r="K19" s="351"/>
      <c r="L19" s="351"/>
      <c r="N19" s="300"/>
    </row>
    <row r="20" spans="1:18" x14ac:dyDescent="0.3">
      <c r="B20" s="21" t="s">
        <v>792</v>
      </c>
      <c r="C20" s="21" t="s">
        <v>80</v>
      </c>
      <c r="D20" s="351"/>
      <c r="E20" s="351"/>
      <c r="F20" s="351"/>
      <c r="G20" s="351"/>
      <c r="H20" s="351"/>
      <c r="I20" s="351"/>
      <c r="J20" s="351"/>
      <c r="K20" s="351"/>
      <c r="L20" s="351"/>
      <c r="N20" s="300"/>
    </row>
    <row r="21" spans="1:18" x14ac:dyDescent="0.3">
      <c r="B21" s="21" t="s">
        <v>793</v>
      </c>
      <c r="C21" s="21" t="s">
        <v>313</v>
      </c>
      <c r="D21" s="351"/>
      <c r="E21" s="351"/>
      <c r="F21" s="351"/>
      <c r="G21" s="351"/>
      <c r="H21" s="351"/>
      <c r="I21" s="351"/>
      <c r="J21" s="351"/>
      <c r="K21" s="351"/>
      <c r="L21" s="351"/>
      <c r="N21" s="300"/>
    </row>
    <row r="22" spans="1:18" ht="14.4" thickBot="1" x14ac:dyDescent="0.35">
      <c r="A22" s="109"/>
      <c r="B22" s="21" t="s">
        <v>787</v>
      </c>
      <c r="C22" s="21" t="s">
        <v>81</v>
      </c>
      <c r="D22" s="351"/>
      <c r="E22" s="351"/>
      <c r="F22" s="351"/>
      <c r="G22" s="351"/>
      <c r="H22" s="351"/>
      <c r="I22" s="351"/>
      <c r="J22" s="351"/>
      <c r="K22" s="351"/>
      <c r="L22" s="351"/>
      <c r="N22" s="300"/>
    </row>
    <row r="23" spans="1:18" ht="15" thickTop="1" thickBot="1" x14ac:dyDescent="0.35">
      <c r="A23" s="109"/>
      <c r="B23" s="21" t="s">
        <v>786</v>
      </c>
      <c r="C23" s="21" t="s">
        <v>82</v>
      </c>
      <c r="D23" s="391">
        <f>+D16+D19+D20-D21-D22</f>
        <v>0</v>
      </c>
      <c r="E23" s="391">
        <f t="shared" ref="E23:L23" si="3">+E16+E19+E20-E21-E22</f>
        <v>0</v>
      </c>
      <c r="F23" s="391">
        <f t="shared" si="3"/>
        <v>0</v>
      </c>
      <c r="G23" s="391">
        <f t="shared" si="3"/>
        <v>0</v>
      </c>
      <c r="H23" s="391">
        <f t="shared" si="3"/>
        <v>0</v>
      </c>
      <c r="I23" s="391">
        <f t="shared" si="3"/>
        <v>0</v>
      </c>
      <c r="J23" s="391">
        <f t="shared" si="3"/>
        <v>0</v>
      </c>
      <c r="K23" s="391">
        <f t="shared" si="3"/>
        <v>0</v>
      </c>
      <c r="L23" s="391">
        <f t="shared" si="3"/>
        <v>0</v>
      </c>
      <c r="N23" s="300"/>
    </row>
    <row r="24" spans="1:18" ht="29.25" customHeight="1" thickTop="1" thickBot="1" x14ac:dyDescent="0.35">
      <c r="B24" s="21" t="s">
        <v>784</v>
      </c>
      <c r="C24" s="415" t="s">
        <v>794</v>
      </c>
      <c r="D24" s="351"/>
      <c r="E24" s="351"/>
      <c r="F24" s="351"/>
      <c r="G24" s="351"/>
      <c r="H24" s="351"/>
      <c r="I24" s="351"/>
      <c r="J24" s="351"/>
      <c r="K24" s="351"/>
      <c r="L24" s="351"/>
      <c r="N24" s="508" t="s">
        <v>868</v>
      </c>
      <c r="O24" s="508"/>
      <c r="P24" s="508"/>
    </row>
    <row r="25" spans="1:18" ht="14.4" thickTop="1" x14ac:dyDescent="0.3">
      <c r="A25" s="112"/>
      <c r="B25" s="21" t="s">
        <v>785</v>
      </c>
      <c r="C25" s="21" t="s">
        <v>83</v>
      </c>
      <c r="D25" s="351"/>
      <c r="E25" s="351"/>
      <c r="F25" s="351"/>
      <c r="G25" s="351"/>
      <c r="H25" s="351"/>
      <c r="I25" s="351"/>
      <c r="J25" s="351"/>
      <c r="K25" s="351"/>
      <c r="L25" s="351"/>
      <c r="N25" s="300"/>
    </row>
    <row r="26" spans="1:18" x14ac:dyDescent="0.3">
      <c r="R26" s="300"/>
    </row>
    <row r="27" spans="1:18" s="7" customFormat="1" ht="15" customHeight="1" x14ac:dyDescent="0.3">
      <c r="A27" s="113"/>
      <c r="B27" s="161" t="s">
        <v>799</v>
      </c>
      <c r="C27" s="158" t="s">
        <v>329</v>
      </c>
      <c r="D27" s="158"/>
      <c r="E27" s="158"/>
      <c r="F27" s="158"/>
      <c r="G27" s="158"/>
      <c r="H27" s="158"/>
      <c r="I27" s="158"/>
      <c r="J27" s="162"/>
      <c r="K27" s="162"/>
      <c r="L27" s="162"/>
      <c r="N27" s="267" t="s">
        <v>325</v>
      </c>
    </row>
    <row r="28" spans="1:18" ht="22.8" x14ac:dyDescent="0.3">
      <c r="A28" s="220"/>
      <c r="B28" s="509" t="s">
        <v>34</v>
      </c>
      <c r="C28" s="509" t="s">
        <v>76</v>
      </c>
      <c r="D28" s="126" t="str">
        <f>IF(AND('1'!$C$22="Verslo pradžia",YEAR('1'!$E$22)=YEAR('1'!$C$11)),"Pradžios metai","Ataskaitiniai metai")</f>
        <v>Ataskaitiniai metai</v>
      </c>
      <c r="E28" s="170" t="s">
        <v>11</v>
      </c>
      <c r="F28" s="411"/>
      <c r="G28" s="411"/>
      <c r="H28" s="411"/>
      <c r="I28" s="411"/>
      <c r="J28" s="411"/>
      <c r="K28" s="411"/>
      <c r="L28" s="411"/>
      <c r="N28" s="300"/>
    </row>
    <row r="29" spans="1:18" ht="14.4" thickBot="1" x14ac:dyDescent="0.35">
      <c r="A29" s="109"/>
      <c r="B29" s="510"/>
      <c r="C29" s="510"/>
      <c r="D29" s="364">
        <f>IF(D28="Pradžios metai",YEAR('1'!$E$22),IF((YEAR('1'!$C$11)-1)+COUNT($C29:C29)&gt;YEAR('1'!$C$18)+Parametrai!$C$15,"-",(YEAR('1'!$C$11)-1)+COUNT($C29:C29)))</f>
        <v>1899</v>
      </c>
      <c r="E29" s="364">
        <f>IF(E28="Pradžios metai",YEAR('1'!$E$22),IF((YEAR('1'!$C$11)-1)+COUNT($C29:D29)&gt;YEAR('1'!$C$18)+Parametrai!$C$15,"-",(YEAR('1'!$C$11)-1)+COUNT($C29:D29)))</f>
        <v>1900</v>
      </c>
      <c r="F29" s="364">
        <f>IF(F28="Pradžios metai",YEAR('1'!$E$22),IF((YEAR('1'!$C$11)-1)+COUNT($C29:E29)&gt;YEAR('1'!$C$18)+Parametrai!$C$15,"-",(YEAR('1'!$C$11)-1)+COUNT($C29:E29)))</f>
        <v>1901</v>
      </c>
      <c r="G29" s="364">
        <f>IF(G28="Pradžios metai",YEAR('1'!$E$22),IF((YEAR('1'!$C$11)-1)+COUNT($C29:F29)&gt;YEAR('1'!$C$18)+Parametrai!$C$15,"-",(YEAR('1'!$C$11)-1)+COUNT($C29:F29)))</f>
        <v>1902</v>
      </c>
      <c r="H29" s="364">
        <f>IF(H28="Pradžios metai",YEAR('1'!$E$22),IF((YEAR('1'!$C$11)-1)+COUNT($C29:G29)&gt;YEAR('1'!$C$18)+Parametrai!$C$15,"-",(YEAR('1'!$C$11)-1)+COUNT($C29:G29)))</f>
        <v>1903</v>
      </c>
      <c r="I29" s="364" t="str">
        <f>IF(I28="Pradžios metai",YEAR('1'!$E$22),IF((YEAR('1'!$C$11)-1)+COUNT($C29:H29)&gt;YEAR('1'!$C$18)+Parametrai!$C$15,"-",(YEAR('1'!$C$11)-1)+COUNT($C29:H29)))</f>
        <v>-</v>
      </c>
      <c r="J29" s="364" t="str">
        <f>IF(J28="Pradžios metai",YEAR('1'!$E$22),IF((YEAR('1'!$C$11)-1)+COUNT($C29:I29)&gt;YEAR('1'!$C$18)+Parametrai!$C$15,"-",(YEAR('1'!$C$11)-1)+COUNT($C29:I29)))</f>
        <v>-</v>
      </c>
      <c r="K29" s="364" t="str">
        <f>IF(K28="Pradžios metai",YEAR('1'!$E$22),IF((YEAR('1'!$C$11)-1)+COUNT($C29:J29)&gt;YEAR('1'!$C$18)+Parametrai!$C$15,"-",(YEAR('1'!$C$11)-1)+COUNT($C29:J29)))</f>
        <v>-</v>
      </c>
      <c r="L29" s="364" t="str">
        <f>IF(L28="Pradžios metai",YEAR('1'!$E$22),IF((YEAR('1'!$C$11)-1)+COUNT($C29:K29)&gt;YEAR('1'!$C$18)+Parametrai!$C$15,"-",(YEAR('1'!$C$11)-1)+COUNT($C29:K29)))</f>
        <v>-</v>
      </c>
      <c r="N29" s="300"/>
    </row>
    <row r="30" spans="1:18" ht="24.6" thickTop="1" x14ac:dyDescent="0.3">
      <c r="B30" s="219" t="s">
        <v>780</v>
      </c>
      <c r="C30" s="117" t="s">
        <v>84</v>
      </c>
      <c r="D30" s="355"/>
      <c r="E30" s="390">
        <f>+D33</f>
        <v>0</v>
      </c>
      <c r="F30" s="390">
        <f t="shared" ref="F30:L30" si="4">+E33</f>
        <v>0</v>
      </c>
      <c r="G30" s="390">
        <f t="shared" si="4"/>
        <v>0</v>
      </c>
      <c r="H30" s="390">
        <f t="shared" si="4"/>
        <v>0</v>
      </c>
      <c r="I30" s="390">
        <f t="shared" si="4"/>
        <v>0</v>
      </c>
      <c r="J30" s="390">
        <f t="shared" si="4"/>
        <v>0</v>
      </c>
      <c r="K30" s="390">
        <f t="shared" si="4"/>
        <v>0</v>
      </c>
      <c r="L30" s="390">
        <f t="shared" si="4"/>
        <v>0</v>
      </c>
      <c r="N30" s="300"/>
    </row>
    <row r="31" spans="1:18" x14ac:dyDescent="0.3">
      <c r="B31" s="27" t="s">
        <v>781</v>
      </c>
      <c r="C31" s="41" t="s">
        <v>721</v>
      </c>
      <c r="D31" s="351"/>
      <c r="E31" s="351"/>
      <c r="F31" s="351"/>
      <c r="G31" s="351"/>
      <c r="H31" s="351"/>
      <c r="I31" s="351"/>
      <c r="J31" s="351"/>
      <c r="K31" s="351"/>
      <c r="L31" s="351"/>
      <c r="N31" s="300"/>
    </row>
    <row r="32" spans="1:18" ht="14.4" thickBot="1" x14ac:dyDescent="0.35">
      <c r="A32" s="109"/>
      <c r="B32" s="114" t="s">
        <v>782</v>
      </c>
      <c r="C32" s="110" t="s">
        <v>85</v>
      </c>
      <c r="D32" s="352"/>
      <c r="E32" s="352"/>
      <c r="F32" s="352"/>
      <c r="G32" s="352"/>
      <c r="H32" s="352"/>
      <c r="I32" s="352"/>
      <c r="J32" s="352"/>
      <c r="K32" s="352"/>
      <c r="L32" s="352"/>
      <c r="N32" s="300"/>
    </row>
    <row r="33" spans="1:17" ht="25.2" thickTop="1" thickBot="1" x14ac:dyDescent="0.35">
      <c r="A33" s="109"/>
      <c r="B33" s="115" t="s">
        <v>783</v>
      </c>
      <c r="C33" s="111" t="s">
        <v>86</v>
      </c>
      <c r="D33" s="392">
        <f>+D30+D31-D32</f>
        <v>0</v>
      </c>
      <c r="E33" s="392">
        <f>+E30+E31-E32</f>
        <v>0</v>
      </c>
      <c r="F33" s="392">
        <f t="shared" ref="F33:L33" si="5">+F30+F31-F32</f>
        <v>0</v>
      </c>
      <c r="G33" s="392">
        <f t="shared" si="5"/>
        <v>0</v>
      </c>
      <c r="H33" s="392">
        <f t="shared" si="5"/>
        <v>0</v>
      </c>
      <c r="I33" s="392">
        <f t="shared" si="5"/>
        <v>0</v>
      </c>
      <c r="J33" s="392">
        <f t="shared" si="5"/>
        <v>0</v>
      </c>
      <c r="K33" s="392">
        <f t="shared" si="5"/>
        <v>0</v>
      </c>
      <c r="L33" s="392">
        <f t="shared" si="5"/>
        <v>0</v>
      </c>
      <c r="N33" s="300"/>
    </row>
    <row r="34" spans="1:17" ht="32.25" customHeight="1" thickTop="1" thickBot="1" x14ac:dyDescent="0.35">
      <c r="B34" s="120" t="s">
        <v>778</v>
      </c>
      <c r="C34" s="265" t="s">
        <v>795</v>
      </c>
      <c r="D34" s="353"/>
      <c r="E34" s="353"/>
      <c r="F34" s="353"/>
      <c r="G34" s="353"/>
      <c r="H34" s="353"/>
      <c r="I34" s="353"/>
      <c r="J34" s="353"/>
      <c r="K34" s="353"/>
      <c r="L34" s="353"/>
      <c r="N34" s="508" t="s">
        <v>867</v>
      </c>
      <c r="O34" s="508"/>
      <c r="P34" s="508"/>
      <c r="Q34" s="508"/>
    </row>
    <row r="35" spans="1:17" ht="14.25" customHeight="1" thickTop="1" x14ac:dyDescent="0.3">
      <c r="A35" s="112"/>
      <c r="B35" s="116" t="s">
        <v>779</v>
      </c>
      <c r="C35" s="208" t="s">
        <v>87</v>
      </c>
      <c r="D35" s="354"/>
      <c r="E35" s="354"/>
      <c r="F35" s="354"/>
      <c r="G35" s="354"/>
      <c r="H35" s="354"/>
      <c r="I35" s="354"/>
      <c r="J35" s="354"/>
      <c r="K35" s="354"/>
      <c r="L35" s="354"/>
      <c r="N35" s="300"/>
    </row>
    <row r="37" spans="1:17" x14ac:dyDescent="0.3">
      <c r="D37" s="251"/>
      <c r="E37" s="251"/>
      <c r="F37" s="251"/>
      <c r="G37" s="251"/>
      <c r="H37" s="251"/>
      <c r="I37" s="251"/>
    </row>
    <row r="38" spans="1:17" x14ac:dyDescent="0.3">
      <c r="D38" s="251"/>
    </row>
    <row r="41" spans="1:17" x14ac:dyDescent="0.3">
      <c r="D41" s="42"/>
      <c r="E41" s="42"/>
      <c r="F41" s="42"/>
      <c r="G41" s="42"/>
      <c r="H41" s="42"/>
      <c r="I41" s="42"/>
      <c r="J41" s="42"/>
      <c r="K41" s="42"/>
      <c r="L41" s="42"/>
      <c r="M41" s="42"/>
      <c r="N41" s="42"/>
      <c r="O41" s="42"/>
      <c r="P41" s="42"/>
    </row>
  </sheetData>
  <sheetProtection algorithmName="SHA-512" hashValue="2R0wD/vdCwYjGijbINrl/GkP8uvciG3Phv6uTsppO/amyiyVNWDWCg9xboSylemL7zuySuS06ABepus5GvOUMg==" saltValue="YMOTiU/49me+mUqChkLPQA==" spinCount="100000" sheet="1" objects="1" scenarios="1" formatRows="0" insertRows="0"/>
  <mergeCells count="29">
    <mergeCell ref="C1:P1"/>
    <mergeCell ref="B4:B5"/>
    <mergeCell ref="C4:D5"/>
    <mergeCell ref="L4:L5"/>
    <mergeCell ref="M4:M5"/>
    <mergeCell ref="N4:N5"/>
    <mergeCell ref="O4:O5"/>
    <mergeCell ref="E4:K5"/>
    <mergeCell ref="C6:D6"/>
    <mergeCell ref="C7:D7"/>
    <mergeCell ref="C8:D8"/>
    <mergeCell ref="C9:D9"/>
    <mergeCell ref="E9:K9"/>
    <mergeCell ref="E6:K6"/>
    <mergeCell ref="E7:K7"/>
    <mergeCell ref="E8:K8"/>
    <mergeCell ref="N34:Q34"/>
    <mergeCell ref="B28:B29"/>
    <mergeCell ref="C28:C29"/>
    <mergeCell ref="C10:D10"/>
    <mergeCell ref="E10:K10"/>
    <mergeCell ref="B11:D11"/>
    <mergeCell ref="B14:B15"/>
    <mergeCell ref="C14:C15"/>
    <mergeCell ref="N17:P17"/>
    <mergeCell ref="N18:P18"/>
    <mergeCell ref="N24:P24"/>
    <mergeCell ref="E14:L14"/>
    <mergeCell ref="C13:L13"/>
  </mergeCells>
  <phoneticPr fontId="12" type="noConversion"/>
  <conditionalFormatting sqref="D23 D33">
    <cfRule type="expression" dxfId="45" priority="66">
      <formula>($D$23+$D$33)&lt;&gt;$P$11</formula>
    </cfRule>
  </conditionalFormatting>
  <conditionalFormatting sqref="D15:L15">
    <cfRule type="expression" dxfId="44" priority="4">
      <formula>D15="-"</formula>
    </cfRule>
  </conditionalFormatting>
  <conditionalFormatting sqref="D29:L29">
    <cfRule type="expression" dxfId="42" priority="2">
      <formula>D29="-"</formula>
    </cfRule>
  </conditionalFormatting>
  <conditionalFormatting sqref="P11">
    <cfRule type="expression" dxfId="40" priority="110">
      <formula>$P$11&lt;&gt;$D$23+$D$33</formula>
    </cfRule>
  </conditionalFormatting>
  <conditionalFormatting sqref="R11">
    <cfRule type="expression" dxfId="39" priority="1">
      <formula>ISNUMBER(SEARCH("Klaida", R11))</formula>
    </cfRule>
  </conditionalFormatting>
  <pageMargins left="0.70866141732283472" right="0.70866141732283472" top="0.74803149606299213" bottom="0.74803149606299213" header="0.31496062992125984" footer="0.31496062992125984"/>
  <pageSetup paperSize="9" pageOrder="overThenDown" orientation="landscape" blackAndWhite="1" horizontalDpi="4294967293" verticalDpi="4294967293" r:id="rId1"/>
  <extLst>
    <ext xmlns:x14="http://schemas.microsoft.com/office/spreadsheetml/2009/9/main" uri="{78C0D931-6437-407d-A8EE-F0AAD7539E65}">
      <x14:conditionalFormattings>
        <x14:conditionalFormatting xmlns:xm="http://schemas.microsoft.com/office/excel/2006/main">
          <x14:cfRule type="expression" priority="5" id="{B8075966-5163-4A35-A1C9-49CD54BCA2CD}">
            <xm:f>AND(D15&gt;=YEAR(Parametrai!$C$13),D15&lt;=MIN(YEAR('1'!$C$18),YEAR(EOMONTH(Parametrai!$C$13,Parametrai!$C$14)),IF(Parametrai!$C$16&lt;&gt;0,YEAR(Parametrai!$C$16),YEAR(EOMONTH(Parametrai!$C$13,Parametrai!$C$14)))))</xm:f>
            <x14:dxf>
              <fill>
                <patternFill>
                  <bgColor rgb="FFFFF0D2"/>
                </patternFill>
              </fill>
            </x14:dxf>
          </x14:cfRule>
          <xm:sqref>D15:L15</xm:sqref>
        </x14:conditionalFormatting>
        <x14:conditionalFormatting xmlns:xm="http://schemas.microsoft.com/office/excel/2006/main">
          <x14:cfRule type="expression" priority="3" id="{14D64450-838D-4942-A5D9-9A1E78FA5A1E}">
            <xm:f>AND(D29&gt;=YEAR(Parametrai!$C$13),D29&lt;=MIN(YEAR('1'!$C$18),YEAR(EOMONTH(Parametrai!$C$13,Parametrai!$C$14)),IF(Parametrai!$C$16&lt;&gt;0,YEAR(Parametrai!$C$16),YEAR(EOMONTH(Parametrai!$C$13,Parametrai!$C$14)))))</xm:f>
            <x14:dxf>
              <fill>
                <patternFill>
                  <bgColor rgb="FFFFF0D2"/>
                </patternFill>
              </fill>
            </x14:dxf>
          </x14:cfRule>
          <xm:sqref>D29:L29</xm:sqref>
        </x14:conditionalFormatting>
      </x14:conditionalFormattings>
    </ext>
  </extLst>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93815D4-29EE-4B21-B89A-6E6BD9DCAD53}">
  <sheetPr codeName="Lapas16">
    <tabColor theme="9" tint="-0.499984740745262"/>
  </sheetPr>
  <dimension ref="B1:O61"/>
  <sheetViews>
    <sheetView topLeftCell="B1" zoomScaleNormal="100" workbookViewId="0">
      <pane xSplit="2" ySplit="6" topLeftCell="D48" activePane="bottomRight" state="frozen"/>
      <selection activeCell="B14" sqref="B14:L14"/>
      <selection pane="topRight" activeCell="B14" sqref="B14:L14"/>
      <selection pane="bottomLeft" activeCell="B14" sqref="B14:L14"/>
      <selection pane="bottomRight" activeCell="D52" sqref="D52"/>
    </sheetView>
  </sheetViews>
  <sheetFormatPr defaultColWidth="8.6640625" defaultRowHeight="13.8" x14ac:dyDescent="0.3"/>
  <cols>
    <col min="1" max="1" width="0" style="3" hidden="1" customWidth="1"/>
    <col min="2" max="2" width="6.33203125" style="3" customWidth="1"/>
    <col min="3" max="3" width="33.33203125" style="1" customWidth="1"/>
    <col min="4" max="12" width="10" style="3" customWidth="1"/>
    <col min="13" max="13" width="7" style="4" customWidth="1"/>
    <col min="14" max="14" width="43.44140625" style="3" customWidth="1"/>
    <col min="15" max="16384" width="8.6640625" style="3"/>
  </cols>
  <sheetData>
    <row r="1" spans="2:14" x14ac:dyDescent="0.3">
      <c r="B1" s="134" t="s">
        <v>58</v>
      </c>
      <c r="C1" s="163" t="s">
        <v>88</v>
      </c>
      <c r="D1" s="134"/>
      <c r="E1" s="134"/>
      <c r="F1" s="134"/>
      <c r="G1" s="134"/>
      <c r="H1" s="134"/>
      <c r="I1" s="134"/>
      <c r="J1" s="134"/>
      <c r="K1" s="134"/>
      <c r="L1" s="134"/>
      <c r="N1" s="305" t="s">
        <v>224</v>
      </c>
    </row>
    <row r="2" spans="2:14" x14ac:dyDescent="0.3">
      <c r="C2" s="43" t="s">
        <v>89</v>
      </c>
      <c r="D2" s="393">
        <f t="shared" ref="D2:L2" si="0">ROUND(D31-D61,0)</f>
        <v>0</v>
      </c>
      <c r="E2" s="393">
        <f t="shared" si="0"/>
        <v>0</v>
      </c>
      <c r="F2" s="393">
        <f t="shared" si="0"/>
        <v>0</v>
      </c>
      <c r="G2" s="393">
        <f t="shared" si="0"/>
        <v>0</v>
      </c>
      <c r="H2" s="393">
        <f t="shared" si="0"/>
        <v>0</v>
      </c>
      <c r="I2" s="393">
        <f t="shared" si="0"/>
        <v>0</v>
      </c>
      <c r="J2" s="393">
        <f t="shared" si="0"/>
        <v>0</v>
      </c>
      <c r="K2" s="393">
        <f t="shared" si="0"/>
        <v>0</v>
      </c>
      <c r="L2" s="393">
        <f t="shared" si="0"/>
        <v>0</v>
      </c>
      <c r="N2" s="267" t="str">
        <f>IF((COUNTIFS(D2:L2,"&gt;3")+COUNTIFS(D2:L2,"&lt;-3"))&gt;0,"Klaida! Patikrinkite duomenis, turtas iš viso nėra lygus nuosavybei ir įsipareigojimams iš viso","ok")</f>
        <v>ok</v>
      </c>
    </row>
    <row r="3" spans="2:14" s="2" customFormat="1" x14ac:dyDescent="0.3">
      <c r="B3" s="134" t="s">
        <v>319</v>
      </c>
      <c r="C3" s="163" t="s">
        <v>648</v>
      </c>
      <c r="D3" s="134"/>
      <c r="E3" s="134"/>
      <c r="F3" s="134"/>
      <c r="G3" s="134"/>
      <c r="H3" s="134"/>
      <c r="I3" s="134"/>
      <c r="J3" s="134"/>
      <c r="K3" s="134"/>
      <c r="L3" s="134"/>
      <c r="M3" s="44"/>
      <c r="N3" s="309"/>
    </row>
    <row r="4" spans="2:14" x14ac:dyDescent="0.3">
      <c r="N4" s="309"/>
    </row>
    <row r="5" spans="2:14" ht="22.8" x14ac:dyDescent="0.3">
      <c r="B5" s="545" t="s">
        <v>21</v>
      </c>
      <c r="C5" s="500" t="s">
        <v>43</v>
      </c>
      <c r="D5" s="126" t="str">
        <f>IF(AND('1'!$C$22="Verslo pradžia",YEAR('1'!$E$22)=YEAR('1'!$C$11)),"Pradžios metai","Ataskaitiniai metai")</f>
        <v>Ataskaitiniai metai</v>
      </c>
      <c r="E5" s="470" t="s">
        <v>11</v>
      </c>
      <c r="F5" s="471"/>
      <c r="G5" s="471"/>
      <c r="H5" s="471"/>
      <c r="I5" s="471"/>
      <c r="J5" s="471"/>
      <c r="K5" s="471"/>
      <c r="L5" s="471"/>
      <c r="M5" s="46"/>
      <c r="N5" s="309"/>
    </row>
    <row r="6" spans="2:14" ht="14.4" thickBot="1" x14ac:dyDescent="0.35">
      <c r="B6" s="546"/>
      <c r="C6" s="501"/>
      <c r="D6" s="364">
        <f>IF(D5="Pradžios metai",YEAR('1'!$E$22),IF((YEAR('1'!$C$11)-1)+COUNT($C6:C6)&gt;YEAR('1'!$C$18)+Parametrai!$C$15,"-",(YEAR('1'!$C$11)-1)+COUNT($C6:C6)))</f>
        <v>1899</v>
      </c>
      <c r="E6" s="364">
        <f>IF(E5="Pradžios metai",YEAR('1'!$E$22),IF((YEAR('1'!$C$11)-1)+COUNT($C6:D6)&gt;YEAR('1'!$C$18)+Parametrai!$C$15,"-",(YEAR('1'!$C$11)-1)+COUNT($C6:D6)))</f>
        <v>1900</v>
      </c>
      <c r="F6" s="364">
        <f>IF(F5="Pradžios metai",YEAR('1'!$E$22),IF((YEAR('1'!$C$11)-1)+COUNT($C6:E6)&gt;YEAR('1'!$C$18)+Parametrai!$C$15,"-",(YEAR('1'!$C$11)-1)+COUNT($C6:E6)))</f>
        <v>1901</v>
      </c>
      <c r="G6" s="364">
        <f>IF(G5="Pradžios metai",YEAR('1'!$E$22),IF((YEAR('1'!$C$11)-1)+COUNT($C6:F6)&gt;YEAR('1'!$C$18)+Parametrai!$C$15,"-",(YEAR('1'!$C$11)-1)+COUNT($C6:F6)))</f>
        <v>1902</v>
      </c>
      <c r="H6" s="364">
        <f>IF(H5="Pradžios metai",YEAR('1'!$E$22),IF((YEAR('1'!$C$11)-1)+COUNT($C6:G6)&gt;YEAR('1'!$C$18)+Parametrai!$C$15,"-",(YEAR('1'!$C$11)-1)+COUNT($C6:G6)))</f>
        <v>1903</v>
      </c>
      <c r="I6" s="364" t="str">
        <f>IF(I5="Pradžios metai",YEAR('1'!$E$22),IF((YEAR('1'!$C$11)-1)+COUNT($C6:H6)&gt;YEAR('1'!$C$18)+Parametrai!$C$15,"-",(YEAR('1'!$C$11)-1)+COUNT($C6:H6)))</f>
        <v>-</v>
      </c>
      <c r="J6" s="364" t="str">
        <f>IF(J5="Pradžios metai",YEAR('1'!$E$22),IF((YEAR('1'!$C$11)-1)+COUNT($C6:I6)&gt;YEAR('1'!$C$18)+Parametrai!$C$15,"-",(YEAR('1'!$C$11)-1)+COUNT($C6:I6)))</f>
        <v>-</v>
      </c>
      <c r="K6" s="364" t="str">
        <f>IF(K5="Pradžios metai",YEAR('1'!$E$22),IF((YEAR('1'!$C$11)-1)+COUNT($C6:J6)&gt;YEAR('1'!$C$18)+Parametrai!$C$15,"-",(YEAR('1'!$C$11)-1)+COUNT($C6:J6)))</f>
        <v>-</v>
      </c>
      <c r="L6" s="364" t="str">
        <f>IF(L5="Pradžios metai",YEAR('1'!$E$22),IF((YEAR('1'!$C$11)-1)+COUNT($C6:K6)&gt;YEAR('1'!$C$18)+Parametrai!$C$15,"-",(YEAR('1'!$C$11)-1)+COUNT($C6:K6)))</f>
        <v>-</v>
      </c>
      <c r="N6" s="309"/>
    </row>
    <row r="7" spans="2:14" ht="14.4" thickTop="1" x14ac:dyDescent="0.3">
      <c r="B7" s="164"/>
      <c r="C7" s="165" t="s">
        <v>91</v>
      </c>
      <c r="D7" s="166"/>
      <c r="E7" s="167"/>
      <c r="F7" s="167"/>
      <c r="G7" s="167"/>
      <c r="H7" s="167"/>
      <c r="I7" s="167"/>
      <c r="J7" s="167"/>
      <c r="K7" s="167"/>
      <c r="L7" s="167"/>
      <c r="N7" s="309"/>
    </row>
    <row r="8" spans="2:14" x14ac:dyDescent="0.3">
      <c r="B8" s="168" t="s">
        <v>92</v>
      </c>
      <c r="C8" s="142" t="s">
        <v>93</v>
      </c>
      <c r="D8" s="395">
        <f t="shared" ref="D8:L8" si="1">SUM(D9,D10,D18,D19)</f>
        <v>0</v>
      </c>
      <c r="E8" s="395">
        <f t="shared" si="1"/>
        <v>0</v>
      </c>
      <c r="F8" s="395">
        <f t="shared" si="1"/>
        <v>0</v>
      </c>
      <c r="G8" s="395">
        <f t="shared" si="1"/>
        <v>0</v>
      </c>
      <c r="H8" s="395">
        <f t="shared" si="1"/>
        <v>0</v>
      </c>
      <c r="I8" s="395">
        <f t="shared" si="1"/>
        <v>0</v>
      </c>
      <c r="J8" s="395">
        <f t="shared" si="1"/>
        <v>0</v>
      </c>
      <c r="K8" s="395">
        <f t="shared" si="1"/>
        <v>0</v>
      </c>
      <c r="L8" s="395">
        <f t="shared" si="1"/>
        <v>0</v>
      </c>
      <c r="M8" s="47"/>
      <c r="N8" s="309"/>
    </row>
    <row r="9" spans="2:14" x14ac:dyDescent="0.3">
      <c r="B9" s="48" t="s">
        <v>435</v>
      </c>
      <c r="C9" s="18" t="s">
        <v>94</v>
      </c>
      <c r="D9" s="394">
        <f>'6'!D59</f>
        <v>0</v>
      </c>
      <c r="E9" s="394">
        <f>'6'!E59</f>
        <v>0</v>
      </c>
      <c r="F9" s="394">
        <f>'6'!F59</f>
        <v>0</v>
      </c>
      <c r="G9" s="394">
        <f>'6'!G59</f>
        <v>0</v>
      </c>
      <c r="H9" s="394">
        <f>'6'!H59</f>
        <v>0</v>
      </c>
      <c r="I9" s="394">
        <f>'6'!I59</f>
        <v>0</v>
      </c>
      <c r="J9" s="394">
        <f>'6'!J59</f>
        <v>0</v>
      </c>
      <c r="K9" s="394">
        <f>'6'!K59</f>
        <v>0</v>
      </c>
      <c r="L9" s="394">
        <f>'6'!L59</f>
        <v>0</v>
      </c>
      <c r="M9" s="47"/>
      <c r="N9" s="309"/>
    </row>
    <row r="10" spans="2:14" x14ac:dyDescent="0.3">
      <c r="B10" s="48" t="s">
        <v>436</v>
      </c>
      <c r="C10" s="18" t="s">
        <v>95</v>
      </c>
      <c r="D10" s="391">
        <f t="shared" ref="D10:L10" si="2">SUM(D11,D12:D17)</f>
        <v>0</v>
      </c>
      <c r="E10" s="391">
        <f t="shared" si="2"/>
        <v>0</v>
      </c>
      <c r="F10" s="391">
        <f t="shared" si="2"/>
        <v>0</v>
      </c>
      <c r="G10" s="391">
        <f t="shared" si="2"/>
        <v>0</v>
      </c>
      <c r="H10" s="391">
        <f t="shared" si="2"/>
        <v>0</v>
      </c>
      <c r="I10" s="391">
        <f t="shared" si="2"/>
        <v>0</v>
      </c>
      <c r="J10" s="391">
        <f t="shared" si="2"/>
        <v>0</v>
      </c>
      <c r="K10" s="391">
        <f t="shared" si="2"/>
        <v>0</v>
      </c>
      <c r="L10" s="391">
        <f t="shared" si="2"/>
        <v>0</v>
      </c>
      <c r="N10" s="309"/>
    </row>
    <row r="11" spans="2:14" x14ac:dyDescent="0.3">
      <c r="B11" s="48" t="s">
        <v>573</v>
      </c>
      <c r="C11" s="18" t="s">
        <v>96</v>
      </c>
      <c r="D11" s="394">
        <f>+'6'!D9</f>
        <v>0</v>
      </c>
      <c r="E11" s="394">
        <f>+'6'!E9</f>
        <v>0</v>
      </c>
      <c r="F11" s="394">
        <f>+'6'!F9</f>
        <v>0</v>
      </c>
      <c r="G11" s="394">
        <f>+'6'!G9</f>
        <v>0</v>
      </c>
      <c r="H11" s="394">
        <f>+'6'!H9</f>
        <v>0</v>
      </c>
      <c r="I11" s="394">
        <f>+'6'!I9</f>
        <v>0</v>
      </c>
      <c r="J11" s="394">
        <f>+'6'!J9</f>
        <v>0</v>
      </c>
      <c r="K11" s="394">
        <f>+'6'!K9</f>
        <v>0</v>
      </c>
      <c r="L11" s="394">
        <f>+'6'!L9</f>
        <v>0</v>
      </c>
      <c r="M11" s="47"/>
      <c r="N11" s="309"/>
    </row>
    <row r="12" spans="2:14" x14ac:dyDescent="0.3">
      <c r="B12" s="48" t="s">
        <v>554</v>
      </c>
      <c r="C12" s="18" t="s">
        <v>38</v>
      </c>
      <c r="D12" s="394">
        <f>'6'!D19</f>
        <v>0</v>
      </c>
      <c r="E12" s="394">
        <f>'6'!E19</f>
        <v>0</v>
      </c>
      <c r="F12" s="394">
        <f>'6'!F19</f>
        <v>0</v>
      </c>
      <c r="G12" s="394">
        <f>'6'!G19</f>
        <v>0</v>
      </c>
      <c r="H12" s="394">
        <f>'6'!H19</f>
        <v>0</v>
      </c>
      <c r="I12" s="394">
        <f>'6'!I19</f>
        <v>0</v>
      </c>
      <c r="J12" s="394">
        <f>'6'!J19</f>
        <v>0</v>
      </c>
      <c r="K12" s="394">
        <f>'6'!K19</f>
        <v>0</v>
      </c>
      <c r="L12" s="394">
        <f>'6'!L19</f>
        <v>0</v>
      </c>
      <c r="N12" s="309"/>
    </row>
    <row r="13" spans="2:14" x14ac:dyDescent="0.3">
      <c r="B13" s="48" t="s">
        <v>574</v>
      </c>
      <c r="C13" s="18" t="s">
        <v>55</v>
      </c>
      <c r="D13" s="394">
        <f>'6'!D29</f>
        <v>0</v>
      </c>
      <c r="E13" s="394">
        <f>'6'!E29</f>
        <v>0</v>
      </c>
      <c r="F13" s="394">
        <f>'6'!F29</f>
        <v>0</v>
      </c>
      <c r="G13" s="394">
        <f>'6'!G29</f>
        <v>0</v>
      </c>
      <c r="H13" s="394">
        <f>'6'!H29</f>
        <v>0</v>
      </c>
      <c r="I13" s="394">
        <f>'6'!I29</f>
        <v>0</v>
      </c>
      <c r="J13" s="394">
        <f>'6'!J29</f>
        <v>0</v>
      </c>
      <c r="K13" s="394">
        <f>'6'!K29</f>
        <v>0</v>
      </c>
      <c r="L13" s="394">
        <f>'6'!L29</f>
        <v>0</v>
      </c>
      <c r="N13" s="309"/>
    </row>
    <row r="14" spans="2:14" x14ac:dyDescent="0.3">
      <c r="B14" s="48" t="s">
        <v>575</v>
      </c>
      <c r="C14" s="18" t="s">
        <v>39</v>
      </c>
      <c r="D14" s="394">
        <f>'6'!D39</f>
        <v>0</v>
      </c>
      <c r="E14" s="394">
        <f>'6'!E39</f>
        <v>0</v>
      </c>
      <c r="F14" s="394">
        <f>'6'!F39</f>
        <v>0</v>
      </c>
      <c r="G14" s="394">
        <f>'6'!G39</f>
        <v>0</v>
      </c>
      <c r="H14" s="394">
        <f>'6'!H39</f>
        <v>0</v>
      </c>
      <c r="I14" s="394">
        <f>'6'!I39</f>
        <v>0</v>
      </c>
      <c r="J14" s="394">
        <f>'6'!J39</f>
        <v>0</v>
      </c>
      <c r="K14" s="394">
        <f>'6'!K39</f>
        <v>0</v>
      </c>
      <c r="L14" s="394">
        <f>'6'!L39</f>
        <v>0</v>
      </c>
      <c r="N14" s="309"/>
    </row>
    <row r="15" spans="2:14" x14ac:dyDescent="0.3">
      <c r="B15" s="48" t="s">
        <v>576</v>
      </c>
      <c r="C15" s="18" t="s">
        <v>56</v>
      </c>
      <c r="D15" s="394">
        <f>'6'!D49</f>
        <v>0</v>
      </c>
      <c r="E15" s="394">
        <f>'6'!E49</f>
        <v>0</v>
      </c>
      <c r="F15" s="394">
        <f>'6'!F49</f>
        <v>0</v>
      </c>
      <c r="G15" s="394">
        <f>'6'!G49</f>
        <v>0</v>
      </c>
      <c r="H15" s="394">
        <f>'6'!H49</f>
        <v>0</v>
      </c>
      <c r="I15" s="394">
        <f>'6'!I49</f>
        <v>0</v>
      </c>
      <c r="J15" s="394">
        <f>'6'!J49</f>
        <v>0</v>
      </c>
      <c r="K15" s="394">
        <f>'6'!K49</f>
        <v>0</v>
      </c>
      <c r="L15" s="394">
        <f>'6'!L49</f>
        <v>0</v>
      </c>
      <c r="N15" s="309"/>
    </row>
    <row r="16" spans="2:14" x14ac:dyDescent="0.3">
      <c r="B16" s="48" t="s">
        <v>577</v>
      </c>
      <c r="C16" s="209" t="s">
        <v>611</v>
      </c>
      <c r="D16" s="107"/>
      <c r="E16" s="107"/>
      <c r="F16" s="107"/>
      <c r="G16" s="107"/>
      <c r="H16" s="107"/>
      <c r="I16" s="107"/>
      <c r="J16" s="107"/>
      <c r="K16" s="107"/>
      <c r="L16" s="107"/>
      <c r="N16" s="309" t="s">
        <v>872</v>
      </c>
    </row>
    <row r="17" spans="2:15" x14ac:dyDescent="0.3">
      <c r="B17" s="48" t="s">
        <v>578</v>
      </c>
      <c r="C17" s="18" t="s">
        <v>645</v>
      </c>
      <c r="D17" s="107"/>
      <c r="E17" s="107"/>
      <c r="F17" s="107"/>
      <c r="G17" s="107"/>
      <c r="H17" s="107"/>
      <c r="I17" s="107"/>
      <c r="J17" s="107"/>
      <c r="K17" s="107"/>
      <c r="L17" s="107"/>
      <c r="N17" s="309" t="s">
        <v>873</v>
      </c>
    </row>
    <row r="18" spans="2:15" x14ac:dyDescent="0.3">
      <c r="B18" s="48" t="s">
        <v>437</v>
      </c>
      <c r="C18" s="18" t="s">
        <v>97</v>
      </c>
      <c r="D18" s="346"/>
      <c r="E18" s="346"/>
      <c r="F18" s="346"/>
      <c r="G18" s="346"/>
      <c r="H18" s="346"/>
      <c r="I18" s="346"/>
      <c r="J18" s="346"/>
      <c r="K18" s="346"/>
      <c r="L18" s="346"/>
      <c r="N18" s="309" t="s">
        <v>828</v>
      </c>
    </row>
    <row r="19" spans="2:15" x14ac:dyDescent="0.3">
      <c r="B19" s="48" t="s">
        <v>438</v>
      </c>
      <c r="C19" s="18" t="s">
        <v>99</v>
      </c>
      <c r="D19" s="346"/>
      <c r="E19" s="346"/>
      <c r="F19" s="346"/>
      <c r="G19" s="346"/>
      <c r="H19" s="346"/>
      <c r="I19" s="346"/>
      <c r="J19" s="346"/>
      <c r="K19" s="346"/>
      <c r="L19" s="346"/>
      <c r="N19" s="309" t="s">
        <v>804</v>
      </c>
    </row>
    <row r="20" spans="2:15" x14ac:dyDescent="0.3">
      <c r="B20" s="127" t="s">
        <v>100</v>
      </c>
      <c r="C20" s="128" t="s">
        <v>101</v>
      </c>
      <c r="D20" s="204">
        <f t="shared" ref="D20:L20" si="3">SUM(D21,D25,D28,D29)</f>
        <v>0</v>
      </c>
      <c r="E20" s="204">
        <f t="shared" si="3"/>
        <v>0</v>
      </c>
      <c r="F20" s="204">
        <f t="shared" si="3"/>
        <v>0</v>
      </c>
      <c r="G20" s="204">
        <f t="shared" si="3"/>
        <v>0</v>
      </c>
      <c r="H20" s="204">
        <f t="shared" si="3"/>
        <v>0</v>
      </c>
      <c r="I20" s="204">
        <f t="shared" si="3"/>
        <v>0</v>
      </c>
      <c r="J20" s="204">
        <f t="shared" si="3"/>
        <v>0</v>
      </c>
      <c r="K20" s="204">
        <f t="shared" si="3"/>
        <v>0</v>
      </c>
      <c r="L20" s="204">
        <f t="shared" si="3"/>
        <v>0</v>
      </c>
      <c r="N20" s="309"/>
    </row>
    <row r="21" spans="2:15" x14ac:dyDescent="0.3">
      <c r="B21" s="48" t="s">
        <v>555</v>
      </c>
      <c r="C21" s="18" t="s">
        <v>102</v>
      </c>
      <c r="D21" s="394">
        <f t="shared" ref="D21:L21" si="4">SUM(D22:D24)</f>
        <v>0</v>
      </c>
      <c r="E21" s="394">
        <f t="shared" si="4"/>
        <v>0</v>
      </c>
      <c r="F21" s="394">
        <f t="shared" si="4"/>
        <v>0</v>
      </c>
      <c r="G21" s="394">
        <f t="shared" si="4"/>
        <v>0</v>
      </c>
      <c r="H21" s="394">
        <f t="shared" si="4"/>
        <v>0</v>
      </c>
      <c r="I21" s="394">
        <f t="shared" si="4"/>
        <v>0</v>
      </c>
      <c r="J21" s="394">
        <f t="shared" si="4"/>
        <v>0</v>
      </c>
      <c r="K21" s="394">
        <f t="shared" si="4"/>
        <v>0</v>
      </c>
      <c r="L21" s="394">
        <f t="shared" si="4"/>
        <v>0</v>
      </c>
      <c r="N21" s="310"/>
    </row>
    <row r="22" spans="2:15" x14ac:dyDescent="0.3">
      <c r="B22" s="48" t="s">
        <v>556</v>
      </c>
      <c r="C22" s="18" t="s">
        <v>612</v>
      </c>
      <c r="D22" s="346"/>
      <c r="E22" s="346"/>
      <c r="F22" s="346"/>
      <c r="G22" s="346"/>
      <c r="H22" s="346"/>
      <c r="I22" s="346"/>
      <c r="J22" s="346"/>
      <c r="K22" s="346"/>
      <c r="L22" s="346"/>
      <c r="N22" s="309"/>
    </row>
    <row r="23" spans="2:15" x14ac:dyDescent="0.3">
      <c r="B23" s="48" t="s">
        <v>557</v>
      </c>
      <c r="C23" s="18" t="s">
        <v>613</v>
      </c>
      <c r="D23" s="346"/>
      <c r="E23" s="346"/>
      <c r="F23" s="346"/>
      <c r="G23" s="346"/>
      <c r="H23" s="346"/>
      <c r="I23" s="346"/>
      <c r="J23" s="346"/>
      <c r="K23" s="346"/>
      <c r="L23" s="346"/>
      <c r="N23" s="309"/>
    </row>
    <row r="24" spans="2:15" x14ac:dyDescent="0.3">
      <c r="B24" s="48" t="s">
        <v>558</v>
      </c>
      <c r="C24" s="18" t="s">
        <v>614</v>
      </c>
      <c r="D24" s="346"/>
      <c r="E24" s="346"/>
      <c r="F24" s="346"/>
      <c r="G24" s="346"/>
      <c r="H24" s="346"/>
      <c r="I24" s="346"/>
      <c r="J24" s="346"/>
      <c r="K24" s="346"/>
      <c r="L24" s="346"/>
      <c r="M24" s="46"/>
      <c r="N24" s="310"/>
    </row>
    <row r="25" spans="2:15" x14ac:dyDescent="0.3">
      <c r="B25" s="48" t="s">
        <v>559</v>
      </c>
      <c r="C25" s="18" t="s">
        <v>103</v>
      </c>
      <c r="D25" s="394">
        <f t="shared" ref="D25:L25" si="5">SUM(D26:D27)</f>
        <v>0</v>
      </c>
      <c r="E25" s="394">
        <f t="shared" si="5"/>
        <v>0</v>
      </c>
      <c r="F25" s="394">
        <f t="shared" si="5"/>
        <v>0</v>
      </c>
      <c r="G25" s="394">
        <f t="shared" si="5"/>
        <v>0</v>
      </c>
      <c r="H25" s="394">
        <f t="shared" si="5"/>
        <v>0</v>
      </c>
      <c r="I25" s="394">
        <f t="shared" si="5"/>
        <v>0</v>
      </c>
      <c r="J25" s="394">
        <f t="shared" si="5"/>
        <v>0</v>
      </c>
      <c r="K25" s="394">
        <f t="shared" si="5"/>
        <v>0</v>
      </c>
      <c r="L25" s="394">
        <f t="shared" si="5"/>
        <v>0</v>
      </c>
      <c r="N25" s="309"/>
    </row>
    <row r="26" spans="2:15" x14ac:dyDescent="0.3">
      <c r="B26" s="48" t="s">
        <v>560</v>
      </c>
      <c r="C26" s="18" t="s">
        <v>104</v>
      </c>
      <c r="D26" s="351"/>
      <c r="E26" s="346"/>
      <c r="F26" s="346"/>
      <c r="G26" s="346"/>
      <c r="H26" s="346"/>
      <c r="I26" s="346"/>
      <c r="J26" s="346"/>
      <c r="K26" s="346"/>
      <c r="L26" s="346"/>
      <c r="N26" s="309"/>
      <c r="O26" s="108"/>
    </row>
    <row r="27" spans="2:15" x14ac:dyDescent="0.3">
      <c r="B27" s="48" t="s">
        <v>561</v>
      </c>
      <c r="C27" s="18" t="s">
        <v>105</v>
      </c>
      <c r="D27" s="351"/>
      <c r="E27" s="346"/>
      <c r="F27" s="346"/>
      <c r="G27" s="346"/>
      <c r="H27" s="346"/>
      <c r="I27" s="346"/>
      <c r="J27" s="346"/>
      <c r="K27" s="346"/>
      <c r="L27" s="346"/>
      <c r="N27" s="309"/>
    </row>
    <row r="28" spans="2:15" x14ac:dyDescent="0.3">
      <c r="B28" s="48" t="s">
        <v>562</v>
      </c>
      <c r="C28" s="18" t="s">
        <v>106</v>
      </c>
      <c r="D28" s="351"/>
      <c r="E28" s="346"/>
      <c r="F28" s="346"/>
      <c r="G28" s="346"/>
      <c r="H28" s="346"/>
      <c r="I28" s="346"/>
      <c r="J28" s="346"/>
      <c r="K28" s="346"/>
      <c r="L28" s="346"/>
      <c r="M28" s="47"/>
      <c r="N28" s="309"/>
    </row>
    <row r="29" spans="2:15" x14ac:dyDescent="0.3">
      <c r="B29" s="48" t="s">
        <v>563</v>
      </c>
      <c r="C29" s="18" t="s">
        <v>107</v>
      </c>
      <c r="D29" s="351"/>
      <c r="E29" s="391">
        <f>+'9.3_nvo'!E49</f>
        <v>0</v>
      </c>
      <c r="F29" s="391">
        <f>+'9.3_nvo'!F49</f>
        <v>0</v>
      </c>
      <c r="G29" s="391">
        <f>+'9.3_nvo'!G49</f>
        <v>0</v>
      </c>
      <c r="H29" s="391">
        <f>+'9.3_nvo'!H49</f>
        <v>0</v>
      </c>
      <c r="I29" s="391">
        <f>+'9.3_nvo'!I49</f>
        <v>0</v>
      </c>
      <c r="J29" s="391">
        <f>+'9.3_nvo'!J49</f>
        <v>0</v>
      </c>
      <c r="K29" s="391">
        <f>+'9.3_nvo'!K49</f>
        <v>0</v>
      </c>
      <c r="L29" s="391">
        <f>+'9.3_nvo'!L49</f>
        <v>0</v>
      </c>
      <c r="M29" s="47"/>
      <c r="N29" s="267" t="str">
        <f>IF(COUNTIFS(D29:L29,"&lt;0")&gt;0,"Klaida! Pinigų likutis negali būti neigiamas!","ok")</f>
        <v>ok</v>
      </c>
    </row>
    <row r="30" spans="2:15" ht="22.8" x14ac:dyDescent="0.3">
      <c r="B30" s="127" t="s">
        <v>108</v>
      </c>
      <c r="C30" s="128" t="s">
        <v>109</v>
      </c>
      <c r="D30" s="356"/>
      <c r="E30" s="357"/>
      <c r="F30" s="357"/>
      <c r="G30" s="357"/>
      <c r="H30" s="357"/>
      <c r="I30" s="357"/>
      <c r="J30" s="357"/>
      <c r="K30" s="357"/>
      <c r="L30" s="357"/>
      <c r="M30" s="47"/>
      <c r="N30" s="267" t="str">
        <f>IF(ABS(D29-'9.3_nvo'!D49)&gt;1,"Klaida! Ataskaitiniais metais pinigų likutis balanse ir pinigų srautų ataskaitoje nesutampa","ok")</f>
        <v>ok</v>
      </c>
    </row>
    <row r="31" spans="2:15" s="5" customFormat="1" ht="14.7" customHeight="1" thickBot="1" x14ac:dyDescent="0.35">
      <c r="B31" s="212"/>
      <c r="C31" s="212" t="s">
        <v>110</v>
      </c>
      <c r="D31" s="178">
        <f t="shared" ref="D31:L31" si="6">SUM(D8,D20,D30)</f>
        <v>0</v>
      </c>
      <c r="E31" s="178">
        <f t="shared" si="6"/>
        <v>0</v>
      </c>
      <c r="F31" s="178">
        <f t="shared" si="6"/>
        <v>0</v>
      </c>
      <c r="G31" s="178">
        <f t="shared" si="6"/>
        <v>0</v>
      </c>
      <c r="H31" s="178">
        <f t="shared" si="6"/>
        <v>0</v>
      </c>
      <c r="I31" s="178">
        <f t="shared" si="6"/>
        <v>0</v>
      </c>
      <c r="J31" s="178">
        <f t="shared" si="6"/>
        <v>0</v>
      </c>
      <c r="K31" s="178">
        <f t="shared" si="6"/>
        <v>0</v>
      </c>
      <c r="L31" s="178">
        <f t="shared" si="6"/>
        <v>0</v>
      </c>
      <c r="M31" s="47"/>
      <c r="N31" s="309"/>
    </row>
    <row r="32" spans="2:15" ht="14.4" thickTop="1" x14ac:dyDescent="0.3">
      <c r="B32" s="40"/>
      <c r="C32" s="40"/>
      <c r="D32" s="414"/>
      <c r="E32" s="414"/>
      <c r="F32" s="414"/>
      <c r="G32" s="414"/>
      <c r="H32" s="414"/>
      <c r="I32" s="414"/>
      <c r="J32" s="414"/>
      <c r="K32" s="414"/>
      <c r="L32" s="414"/>
      <c r="M32" s="47"/>
      <c r="N32" s="309"/>
    </row>
    <row r="33" spans="2:14" ht="22.8" x14ac:dyDescent="0.3">
      <c r="B33" s="170"/>
      <c r="C33" s="128" t="s">
        <v>111</v>
      </c>
      <c r="D33" s="171"/>
      <c r="E33" s="171"/>
      <c r="F33" s="171"/>
      <c r="G33" s="171"/>
      <c r="H33" s="171"/>
      <c r="I33" s="171"/>
      <c r="J33" s="171"/>
      <c r="K33" s="171"/>
      <c r="L33" s="171"/>
      <c r="M33" s="47"/>
      <c r="N33" s="309"/>
    </row>
    <row r="34" spans="2:14" x14ac:dyDescent="0.3">
      <c r="B34" s="127" t="s">
        <v>112</v>
      </c>
      <c r="C34" s="172" t="s">
        <v>113</v>
      </c>
      <c r="D34" s="207">
        <f>SUM(D35:D38)</f>
        <v>0</v>
      </c>
      <c r="E34" s="207">
        <f t="shared" ref="E34:L34" si="7">SUM(E35:E38)</f>
        <v>0</v>
      </c>
      <c r="F34" s="207">
        <f t="shared" si="7"/>
        <v>0</v>
      </c>
      <c r="G34" s="207">
        <f t="shared" si="7"/>
        <v>0</v>
      </c>
      <c r="H34" s="207">
        <f t="shared" si="7"/>
        <v>0</v>
      </c>
      <c r="I34" s="207">
        <f t="shared" si="7"/>
        <v>0</v>
      </c>
      <c r="J34" s="207">
        <f t="shared" si="7"/>
        <v>0</v>
      </c>
      <c r="K34" s="207">
        <f t="shared" si="7"/>
        <v>0</v>
      </c>
      <c r="L34" s="207">
        <f t="shared" si="7"/>
        <v>0</v>
      </c>
      <c r="M34" s="47"/>
      <c r="N34" s="309"/>
    </row>
    <row r="35" spans="2:14" x14ac:dyDescent="0.3">
      <c r="B35" s="48" t="s">
        <v>564</v>
      </c>
      <c r="C35" s="18" t="s">
        <v>732</v>
      </c>
      <c r="D35" s="416">
        <f>+D31-D41-D38-D49-D60-D36-D37</f>
        <v>0</v>
      </c>
      <c r="E35" s="394">
        <f>+D35+'9.3_nvo'!E42</f>
        <v>0</v>
      </c>
      <c r="F35" s="394">
        <f>+E35+'9.3_nvo'!J42</f>
        <v>0</v>
      </c>
      <c r="G35" s="394">
        <f>+F35+'9.3_nvo'!K42</f>
        <v>0</v>
      </c>
      <c r="H35" s="394">
        <f>+G35+'9.3_nvo'!L42</f>
        <v>0</v>
      </c>
      <c r="I35" s="394">
        <f>+H35+'9.3_nvo'!M42</f>
        <v>0</v>
      </c>
      <c r="J35" s="394">
        <f>+I35+'9.3_nvo'!N42</f>
        <v>0</v>
      </c>
      <c r="K35" s="394">
        <f>+J35+'9.3_nvo'!O42</f>
        <v>0</v>
      </c>
      <c r="L35" s="394">
        <f>+K35+'9.3_nvo'!P42</f>
        <v>0</v>
      </c>
      <c r="M35" s="47"/>
      <c r="N35" s="309" t="s">
        <v>829</v>
      </c>
    </row>
    <row r="36" spans="2:14" x14ac:dyDescent="0.3">
      <c r="B36" s="48" t="s">
        <v>565</v>
      </c>
      <c r="C36" s="18" t="s">
        <v>115</v>
      </c>
      <c r="D36" s="346"/>
      <c r="E36" s="391">
        <f>+D36</f>
        <v>0</v>
      </c>
      <c r="F36" s="391">
        <f t="shared" ref="F36:L36" si="8">+E36</f>
        <v>0</v>
      </c>
      <c r="G36" s="391">
        <f t="shared" si="8"/>
        <v>0</v>
      </c>
      <c r="H36" s="391">
        <f t="shared" si="8"/>
        <v>0</v>
      </c>
      <c r="I36" s="391">
        <f t="shared" si="8"/>
        <v>0</v>
      </c>
      <c r="J36" s="391">
        <f t="shared" si="8"/>
        <v>0</v>
      </c>
      <c r="K36" s="391">
        <f t="shared" si="8"/>
        <v>0</v>
      </c>
      <c r="L36" s="391">
        <f t="shared" si="8"/>
        <v>0</v>
      </c>
      <c r="N36" s="309" t="s">
        <v>827</v>
      </c>
    </row>
    <row r="37" spans="2:14" x14ac:dyDescent="0.3">
      <c r="B37" s="48" t="s">
        <v>566</v>
      </c>
      <c r="C37" s="18" t="s">
        <v>735</v>
      </c>
      <c r="D37" s="346"/>
      <c r="E37" s="391">
        <f>+D37</f>
        <v>0</v>
      </c>
      <c r="F37" s="391">
        <f t="shared" ref="F37:L37" si="9">+E37</f>
        <v>0</v>
      </c>
      <c r="G37" s="391">
        <f t="shared" si="9"/>
        <v>0</v>
      </c>
      <c r="H37" s="391">
        <f t="shared" si="9"/>
        <v>0</v>
      </c>
      <c r="I37" s="391">
        <f t="shared" si="9"/>
        <v>0</v>
      </c>
      <c r="J37" s="391">
        <f t="shared" si="9"/>
        <v>0</v>
      </c>
      <c r="K37" s="391">
        <f t="shared" si="9"/>
        <v>0</v>
      </c>
      <c r="L37" s="391">
        <f t="shared" si="9"/>
        <v>0</v>
      </c>
      <c r="N37" s="309" t="s">
        <v>827</v>
      </c>
    </row>
    <row r="38" spans="2:14" x14ac:dyDescent="0.3">
      <c r="B38" s="48" t="s">
        <v>567</v>
      </c>
      <c r="C38" s="18" t="s">
        <v>734</v>
      </c>
      <c r="D38" s="391">
        <f>SUM(D39:D40)</f>
        <v>0</v>
      </c>
      <c r="E38" s="391">
        <f>SUM(E39:E40)</f>
        <v>0</v>
      </c>
      <c r="F38" s="391">
        <f t="shared" ref="F38:L38" si="10">SUM(F39:F40)</f>
        <v>0</v>
      </c>
      <c r="G38" s="391">
        <f t="shared" si="10"/>
        <v>0</v>
      </c>
      <c r="H38" s="391">
        <f t="shared" si="10"/>
        <v>0</v>
      </c>
      <c r="I38" s="391">
        <f t="shared" si="10"/>
        <v>0</v>
      </c>
      <c r="J38" s="391">
        <f t="shared" si="10"/>
        <v>0</v>
      </c>
      <c r="K38" s="391">
        <f t="shared" si="10"/>
        <v>0</v>
      </c>
      <c r="L38" s="391">
        <f t="shared" si="10"/>
        <v>0</v>
      </c>
      <c r="N38" s="309"/>
    </row>
    <row r="39" spans="2:14" x14ac:dyDescent="0.3">
      <c r="B39" s="48" t="s">
        <v>807</v>
      </c>
      <c r="C39" s="18" t="s">
        <v>615</v>
      </c>
      <c r="D39" s="416">
        <f>'9.2_nvo'!D27</f>
        <v>0</v>
      </c>
      <c r="E39" s="391">
        <f>'9.2_nvo'!E27</f>
        <v>0</v>
      </c>
      <c r="F39" s="391">
        <f>'9.2_nvo'!J27</f>
        <v>0</v>
      </c>
      <c r="G39" s="391">
        <f>'9.2_nvo'!K27</f>
        <v>0</v>
      </c>
      <c r="H39" s="391">
        <f>'9.2_nvo'!L27</f>
        <v>0</v>
      </c>
      <c r="I39" s="391">
        <f>'9.2_nvo'!M27</f>
        <v>0</v>
      </c>
      <c r="J39" s="391">
        <f>'9.2_nvo'!N27</f>
        <v>0</v>
      </c>
      <c r="K39" s="391">
        <f>'9.2_nvo'!O27</f>
        <v>0</v>
      </c>
      <c r="L39" s="391">
        <f>'9.2_nvo'!P27</f>
        <v>0</v>
      </c>
      <c r="N39" s="309" t="s">
        <v>829</v>
      </c>
    </row>
    <row r="40" spans="2:14" x14ac:dyDescent="0.3">
      <c r="B40" s="48" t="s">
        <v>808</v>
      </c>
      <c r="C40" s="18" t="s">
        <v>616</v>
      </c>
      <c r="D40" s="346"/>
      <c r="E40" s="391">
        <f>D38</f>
        <v>0</v>
      </c>
      <c r="F40" s="391">
        <f t="shared" ref="F40:L40" si="11">E38</f>
        <v>0</v>
      </c>
      <c r="G40" s="391">
        <f t="shared" si="11"/>
        <v>0</v>
      </c>
      <c r="H40" s="391">
        <f t="shared" si="11"/>
        <v>0</v>
      </c>
      <c r="I40" s="391">
        <f t="shared" si="11"/>
        <v>0</v>
      </c>
      <c r="J40" s="391">
        <f t="shared" si="11"/>
        <v>0</v>
      </c>
      <c r="K40" s="391">
        <f t="shared" si="11"/>
        <v>0</v>
      </c>
      <c r="L40" s="391">
        <f t="shared" si="11"/>
        <v>0</v>
      </c>
      <c r="N40" s="309"/>
    </row>
    <row r="41" spans="2:14" x14ac:dyDescent="0.3">
      <c r="B41" s="127" t="s">
        <v>117</v>
      </c>
      <c r="C41" s="128" t="s">
        <v>617</v>
      </c>
      <c r="D41" s="203">
        <f t="shared" ref="D41:L41" si="12">SUM(D42:D43,D47:D48)</f>
        <v>0</v>
      </c>
      <c r="E41" s="203">
        <f t="shared" si="12"/>
        <v>0</v>
      </c>
      <c r="F41" s="203">
        <f t="shared" si="12"/>
        <v>0</v>
      </c>
      <c r="G41" s="203">
        <f t="shared" si="12"/>
        <v>0</v>
      </c>
      <c r="H41" s="203">
        <f t="shared" si="12"/>
        <v>0</v>
      </c>
      <c r="I41" s="203">
        <f t="shared" si="12"/>
        <v>0</v>
      </c>
      <c r="J41" s="203">
        <f t="shared" si="12"/>
        <v>0</v>
      </c>
      <c r="K41" s="203">
        <f t="shared" si="12"/>
        <v>0</v>
      </c>
      <c r="L41" s="203">
        <f t="shared" si="12"/>
        <v>0</v>
      </c>
      <c r="M41" s="47"/>
      <c r="N41" s="309"/>
    </row>
    <row r="42" spans="2:14" x14ac:dyDescent="0.3">
      <c r="B42" s="48" t="s">
        <v>568</v>
      </c>
      <c r="C42" s="18" t="s">
        <v>770</v>
      </c>
      <c r="D42" s="346"/>
      <c r="E42" s="346"/>
      <c r="F42" s="346"/>
      <c r="G42" s="346"/>
      <c r="H42" s="346"/>
      <c r="I42" s="346"/>
      <c r="J42" s="346"/>
      <c r="K42" s="346"/>
      <c r="L42" s="346"/>
      <c r="M42" s="47"/>
      <c r="N42" s="309" t="s">
        <v>830</v>
      </c>
    </row>
    <row r="43" spans="2:14" x14ac:dyDescent="0.3">
      <c r="B43" s="48" t="s">
        <v>569</v>
      </c>
      <c r="C43" s="18" t="s">
        <v>618</v>
      </c>
      <c r="D43" s="391">
        <f>SUM(D44:D46)</f>
        <v>0</v>
      </c>
      <c r="E43" s="391">
        <f t="shared" ref="E43:L43" si="13">SUM(E44:E46)</f>
        <v>0</v>
      </c>
      <c r="F43" s="391">
        <f t="shared" si="13"/>
        <v>0</v>
      </c>
      <c r="G43" s="391">
        <f t="shared" si="13"/>
        <v>0</v>
      </c>
      <c r="H43" s="391">
        <f t="shared" si="13"/>
        <v>0</v>
      </c>
      <c r="I43" s="391">
        <f t="shared" si="13"/>
        <v>0</v>
      </c>
      <c r="J43" s="391">
        <f t="shared" si="13"/>
        <v>0</v>
      </c>
      <c r="K43" s="391">
        <f t="shared" si="13"/>
        <v>0</v>
      </c>
      <c r="L43" s="391">
        <f t="shared" si="13"/>
        <v>0</v>
      </c>
      <c r="M43" s="47"/>
      <c r="N43" s="267"/>
    </row>
    <row r="44" spans="2:14" ht="36" x14ac:dyDescent="0.3">
      <c r="B44" s="48" t="s">
        <v>570</v>
      </c>
      <c r="C44" s="18" t="s">
        <v>773</v>
      </c>
      <c r="D44" s="346"/>
      <c r="E44" s="346"/>
      <c r="F44" s="346"/>
      <c r="G44" s="346"/>
      <c r="H44" s="346"/>
      <c r="I44" s="346"/>
      <c r="J44" s="346"/>
      <c r="K44" s="346"/>
      <c r="L44" s="346"/>
      <c r="M44" s="47"/>
      <c r="N44" s="267"/>
    </row>
    <row r="45" spans="2:14" ht="24" x14ac:dyDescent="0.3">
      <c r="B45" s="48" t="s">
        <v>571</v>
      </c>
      <c r="C45" s="18" t="s">
        <v>772</v>
      </c>
      <c r="D45" s="346"/>
      <c r="E45" s="391">
        <f>D45+'9.3_nvo'!E40+'7'!D13</f>
        <v>0</v>
      </c>
      <c r="F45" s="391">
        <f>E45+'9.3_nvo'!F40+'7'!E13</f>
        <v>0</v>
      </c>
      <c r="G45" s="391">
        <f>F45+'9.3_nvo'!G40+'7'!F13</f>
        <v>0</v>
      </c>
      <c r="H45" s="391">
        <f>G45+'9.3_nvo'!H40+'7'!G13</f>
        <v>0</v>
      </c>
      <c r="I45" s="391">
        <f>H45+'9.3_nvo'!I40+'7'!H13</f>
        <v>0</v>
      </c>
      <c r="J45" s="391">
        <f>I45+'9.3_nvo'!J40+'7'!I13</f>
        <v>0</v>
      </c>
      <c r="K45" s="391">
        <f>J45+'9.3_nvo'!K40+'7'!J13</f>
        <v>0</v>
      </c>
      <c r="L45" s="391">
        <f>K45+'9.3_nvo'!L40+'7'!K13</f>
        <v>0</v>
      </c>
      <c r="M45" s="47"/>
      <c r="N45" s="267" t="str">
        <f>IF(COUNTIFS(D45:L45,"&lt;0")&gt;1,"Klaida! Dotacijų likutis negali būti neigiamas!","ok")</f>
        <v>ok</v>
      </c>
    </row>
    <row r="46" spans="2:14" x14ac:dyDescent="0.3">
      <c r="B46" s="48" t="s">
        <v>572</v>
      </c>
      <c r="C46" s="18" t="s">
        <v>620</v>
      </c>
      <c r="D46" s="346"/>
      <c r="E46" s="197"/>
      <c r="F46" s="197"/>
      <c r="G46" s="197"/>
      <c r="H46" s="197"/>
      <c r="I46" s="197"/>
      <c r="J46" s="197"/>
      <c r="K46" s="197"/>
      <c r="L46" s="197"/>
      <c r="M46" s="47"/>
      <c r="N46" s="267" t="s">
        <v>442</v>
      </c>
    </row>
    <row r="47" spans="2:14" x14ac:dyDescent="0.3">
      <c r="B47" s="48" t="s">
        <v>579</v>
      </c>
      <c r="C47" s="18" t="s">
        <v>621</v>
      </c>
      <c r="D47" s="346"/>
      <c r="E47" s="346"/>
      <c r="F47" s="346"/>
      <c r="G47" s="346"/>
      <c r="H47" s="346"/>
      <c r="I47" s="346"/>
      <c r="J47" s="346"/>
      <c r="K47" s="346"/>
      <c r="L47" s="346"/>
      <c r="M47" s="47"/>
      <c r="N47" s="267" t="s">
        <v>820</v>
      </c>
    </row>
    <row r="48" spans="2:14" x14ac:dyDescent="0.3">
      <c r="B48" s="48" t="s">
        <v>809</v>
      </c>
      <c r="C48" s="18" t="s">
        <v>622</v>
      </c>
      <c r="D48" s="346"/>
      <c r="E48" s="197"/>
      <c r="F48" s="197"/>
      <c r="G48" s="197"/>
      <c r="H48" s="197"/>
      <c r="I48" s="197"/>
      <c r="J48" s="197"/>
      <c r="K48" s="197"/>
      <c r="L48" s="197"/>
      <c r="M48" s="47"/>
      <c r="N48" s="267" t="s">
        <v>442</v>
      </c>
    </row>
    <row r="49" spans="2:14" ht="22.8" x14ac:dyDescent="0.3">
      <c r="B49" s="127" t="s">
        <v>118</v>
      </c>
      <c r="C49" s="128" t="s">
        <v>119</v>
      </c>
      <c r="D49" s="203">
        <f t="shared" ref="D49:L49" si="14">SUM(D50,D53)</f>
        <v>0</v>
      </c>
      <c r="E49" s="203">
        <f t="shared" si="14"/>
        <v>0</v>
      </c>
      <c r="F49" s="203">
        <f t="shared" si="14"/>
        <v>0</v>
      </c>
      <c r="G49" s="203">
        <f t="shared" si="14"/>
        <v>0</v>
      </c>
      <c r="H49" s="203">
        <f t="shared" si="14"/>
        <v>0</v>
      </c>
      <c r="I49" s="203">
        <f t="shared" si="14"/>
        <v>0</v>
      </c>
      <c r="J49" s="203">
        <f t="shared" si="14"/>
        <v>0</v>
      </c>
      <c r="K49" s="203">
        <f t="shared" si="14"/>
        <v>0</v>
      </c>
      <c r="L49" s="203">
        <f t="shared" si="14"/>
        <v>0</v>
      </c>
      <c r="N49" s="309"/>
    </row>
    <row r="50" spans="2:14" x14ac:dyDescent="0.3">
      <c r="B50" s="48" t="s">
        <v>810</v>
      </c>
      <c r="C50" s="18" t="s">
        <v>623</v>
      </c>
      <c r="D50" s="391">
        <f t="shared" ref="D50:L50" si="15">SUM(D51:D52)</f>
        <v>0</v>
      </c>
      <c r="E50" s="391">
        <f t="shared" si="15"/>
        <v>0</v>
      </c>
      <c r="F50" s="391">
        <f t="shared" si="15"/>
        <v>0</v>
      </c>
      <c r="G50" s="391">
        <f t="shared" si="15"/>
        <v>0</v>
      </c>
      <c r="H50" s="391">
        <f t="shared" si="15"/>
        <v>0</v>
      </c>
      <c r="I50" s="391">
        <f t="shared" si="15"/>
        <v>0</v>
      </c>
      <c r="J50" s="391">
        <f t="shared" si="15"/>
        <v>0</v>
      </c>
      <c r="K50" s="391">
        <f t="shared" si="15"/>
        <v>0</v>
      </c>
      <c r="L50" s="391">
        <f t="shared" si="15"/>
        <v>0</v>
      </c>
      <c r="M50" s="47"/>
      <c r="N50" s="309"/>
    </row>
    <row r="51" spans="2:14" x14ac:dyDescent="0.3">
      <c r="B51" s="48" t="s">
        <v>811</v>
      </c>
      <c r="C51" s="18" t="s">
        <v>624</v>
      </c>
      <c r="D51" s="391">
        <f>'8'!D17+'8'!D19-'8'!D21-'8'!D24  +  '8'!D33-'8'!D34</f>
        <v>0</v>
      </c>
      <c r="E51" s="391">
        <f>'8'!E17+'8'!E19-'8'!E21-'8'!E24  +  '8'!E33-'8'!E34</f>
        <v>0</v>
      </c>
      <c r="F51" s="391">
        <f>'8'!F17+'8'!F19-'8'!F21-'8'!F24  +  '8'!F33-'8'!F34</f>
        <v>0</v>
      </c>
      <c r="G51" s="391">
        <f>'8'!G17+'8'!G19-'8'!G21-'8'!G24  +  '8'!G33-'8'!G34</f>
        <v>0</v>
      </c>
      <c r="H51" s="391">
        <f>'8'!H17+'8'!H19-'8'!H21-'8'!H24  +  '8'!H33-'8'!H34</f>
        <v>0</v>
      </c>
      <c r="I51" s="391">
        <f>'8'!I17+'8'!I19-'8'!I21-'8'!I24  +  '8'!I33-'8'!I34</f>
        <v>0</v>
      </c>
      <c r="J51" s="391">
        <f>'8'!J17+'8'!J19-'8'!J21-'8'!J24  +  '8'!J33-'8'!J34</f>
        <v>0</v>
      </c>
      <c r="K51" s="391">
        <f>'8'!K17+'8'!K19-'8'!K21-'8'!K24  +  '8'!K33-'8'!K34</f>
        <v>0</v>
      </c>
      <c r="L51" s="391">
        <f>'8'!L17+'8'!L19-'8'!L21-'8'!L24  +  '8'!L33-'8'!L34</f>
        <v>0</v>
      </c>
      <c r="M51" s="47"/>
      <c r="N51" s="310"/>
    </row>
    <row r="52" spans="2:14" x14ac:dyDescent="0.3">
      <c r="B52" s="48" t="s">
        <v>812</v>
      </c>
      <c r="C52" s="18" t="s">
        <v>625</v>
      </c>
      <c r="D52" s="346"/>
      <c r="E52" s="346"/>
      <c r="F52" s="346"/>
      <c r="G52" s="346"/>
      <c r="H52" s="346"/>
      <c r="I52" s="346"/>
      <c r="J52" s="346"/>
      <c r="K52" s="346"/>
      <c r="L52" s="346"/>
      <c r="M52" s="118"/>
      <c r="N52" s="309"/>
    </row>
    <row r="53" spans="2:14" x14ac:dyDescent="0.3">
      <c r="B53" s="48" t="s">
        <v>813</v>
      </c>
      <c r="C53" s="18" t="s">
        <v>626</v>
      </c>
      <c r="D53" s="391">
        <f t="shared" ref="D53:L53" si="16">SUM(D54:D59)</f>
        <v>0</v>
      </c>
      <c r="E53" s="391">
        <f t="shared" si="16"/>
        <v>0</v>
      </c>
      <c r="F53" s="391">
        <f t="shared" si="16"/>
        <v>0</v>
      </c>
      <c r="G53" s="391">
        <f t="shared" si="16"/>
        <v>0</v>
      </c>
      <c r="H53" s="391">
        <f t="shared" si="16"/>
        <v>0</v>
      </c>
      <c r="I53" s="391">
        <f t="shared" si="16"/>
        <v>0</v>
      </c>
      <c r="J53" s="391">
        <f t="shared" si="16"/>
        <v>0</v>
      </c>
      <c r="K53" s="391">
        <f t="shared" si="16"/>
        <v>0</v>
      </c>
      <c r="L53" s="391">
        <f t="shared" si="16"/>
        <v>0</v>
      </c>
      <c r="N53" s="309"/>
    </row>
    <row r="54" spans="2:14" x14ac:dyDescent="0.3">
      <c r="B54" s="48" t="s">
        <v>814</v>
      </c>
      <c r="C54" s="18" t="s">
        <v>646</v>
      </c>
      <c r="D54" s="391">
        <f>'8'!D24+'8'!D34</f>
        <v>0</v>
      </c>
      <c r="E54" s="391">
        <f>'8'!E24+'8'!E34</f>
        <v>0</v>
      </c>
      <c r="F54" s="391">
        <f>'8'!F24+'8'!F34</f>
        <v>0</v>
      </c>
      <c r="G54" s="391">
        <f>'8'!G24+'8'!G34</f>
        <v>0</v>
      </c>
      <c r="H54" s="391">
        <f>'8'!H24+'8'!H34</f>
        <v>0</v>
      </c>
      <c r="I54" s="391">
        <f>'8'!I24+'8'!I34</f>
        <v>0</v>
      </c>
      <c r="J54" s="391">
        <f>'8'!J24+'8'!J34</f>
        <v>0</v>
      </c>
      <c r="K54" s="391">
        <f>'8'!K24+'8'!K34</f>
        <v>0</v>
      </c>
      <c r="L54" s="391">
        <f>'8'!L24+'8'!L34</f>
        <v>0</v>
      </c>
      <c r="M54" s="49"/>
      <c r="N54" s="309"/>
    </row>
    <row r="55" spans="2:14" x14ac:dyDescent="0.3">
      <c r="B55" s="48" t="s">
        <v>815</v>
      </c>
      <c r="C55" s="18" t="s">
        <v>624</v>
      </c>
      <c r="D55" s="391">
        <f>'8'!D18+'8'!D20-'8'!D22</f>
        <v>0</v>
      </c>
      <c r="E55" s="391">
        <f>'8'!E18+'8'!E20-'8'!E22</f>
        <v>0</v>
      </c>
      <c r="F55" s="391">
        <f>'8'!F18+'8'!F20-'8'!F22</f>
        <v>0</v>
      </c>
      <c r="G55" s="391">
        <f>'8'!G18+'8'!G20-'8'!G22</f>
        <v>0</v>
      </c>
      <c r="H55" s="391">
        <f>'8'!H18+'8'!H20-'8'!H22</f>
        <v>0</v>
      </c>
      <c r="I55" s="391">
        <f>'8'!I18+'8'!I20-'8'!I22</f>
        <v>0</v>
      </c>
      <c r="J55" s="391">
        <f>'8'!J18+'8'!J20-'8'!J22</f>
        <v>0</v>
      </c>
      <c r="K55" s="391">
        <f>'8'!K18+'8'!K20-'8'!K22</f>
        <v>0</v>
      </c>
      <c r="L55" s="391">
        <f>'8'!L18+'8'!L20-'8'!L22</f>
        <v>0</v>
      </c>
      <c r="M55" s="47"/>
      <c r="N55" s="309"/>
    </row>
    <row r="56" spans="2:14" x14ac:dyDescent="0.3">
      <c r="B56" s="48" t="s">
        <v>816</v>
      </c>
      <c r="C56" s="18" t="s">
        <v>120</v>
      </c>
      <c r="D56" s="351"/>
      <c r="E56" s="351"/>
      <c r="F56" s="351"/>
      <c r="G56" s="351"/>
      <c r="H56" s="351"/>
      <c r="I56" s="351"/>
      <c r="J56" s="351"/>
      <c r="K56" s="351"/>
      <c r="L56" s="351"/>
      <c r="N56" s="310"/>
    </row>
    <row r="57" spans="2:14" x14ac:dyDescent="0.3">
      <c r="B57" s="48" t="s">
        <v>817</v>
      </c>
      <c r="C57" s="18" t="s">
        <v>627</v>
      </c>
      <c r="D57" s="351"/>
      <c r="E57" s="351"/>
      <c r="F57" s="351"/>
      <c r="G57" s="351"/>
      <c r="H57" s="351"/>
      <c r="I57" s="351"/>
      <c r="J57" s="351"/>
      <c r="K57" s="351"/>
      <c r="L57" s="351"/>
      <c r="N57" s="309"/>
    </row>
    <row r="58" spans="2:14" x14ac:dyDescent="0.3">
      <c r="B58" s="48" t="s">
        <v>818</v>
      </c>
      <c r="C58" s="18" t="s">
        <v>121</v>
      </c>
      <c r="D58" s="351"/>
      <c r="E58" s="351"/>
      <c r="F58" s="351"/>
      <c r="G58" s="351"/>
      <c r="H58" s="351"/>
      <c r="I58" s="351"/>
      <c r="J58" s="351"/>
      <c r="K58" s="351"/>
      <c r="L58" s="351"/>
      <c r="N58" s="309"/>
    </row>
    <row r="59" spans="2:14" x14ac:dyDescent="0.3">
      <c r="B59" s="48" t="s">
        <v>819</v>
      </c>
      <c r="C59" s="18" t="s">
        <v>628</v>
      </c>
      <c r="D59" s="351"/>
      <c r="E59" s="351"/>
      <c r="F59" s="351"/>
      <c r="G59" s="351"/>
      <c r="H59" s="351"/>
      <c r="I59" s="351"/>
      <c r="J59" s="351"/>
      <c r="K59" s="351"/>
      <c r="L59" s="351"/>
      <c r="N59" s="309"/>
    </row>
    <row r="60" spans="2:14" ht="34.200000000000003" x14ac:dyDescent="0.3">
      <c r="B60" s="127" t="s">
        <v>122</v>
      </c>
      <c r="C60" s="128" t="s">
        <v>123</v>
      </c>
      <c r="D60" s="356"/>
      <c r="E60" s="356"/>
      <c r="F60" s="356"/>
      <c r="G60" s="356"/>
      <c r="H60" s="356"/>
      <c r="I60" s="356"/>
      <c r="J60" s="356"/>
      <c r="K60" s="356"/>
      <c r="L60" s="356"/>
      <c r="N60" s="310"/>
    </row>
    <row r="61" spans="2:14" s="51" customFormat="1" ht="23.25" customHeight="1" x14ac:dyDescent="0.3">
      <c r="B61" s="211"/>
      <c r="C61" s="211" t="s">
        <v>434</v>
      </c>
      <c r="D61" s="179">
        <f t="shared" ref="D61:L61" si="17">SUM(D34,D41,D49,D60)</f>
        <v>0</v>
      </c>
      <c r="E61" s="179">
        <f t="shared" si="17"/>
        <v>0</v>
      </c>
      <c r="F61" s="179">
        <f t="shared" si="17"/>
        <v>0</v>
      </c>
      <c r="G61" s="179">
        <f t="shared" si="17"/>
        <v>0</v>
      </c>
      <c r="H61" s="179">
        <f t="shared" si="17"/>
        <v>0</v>
      </c>
      <c r="I61" s="179">
        <f t="shared" si="17"/>
        <v>0</v>
      </c>
      <c r="J61" s="179">
        <f t="shared" si="17"/>
        <v>0</v>
      </c>
      <c r="K61" s="179">
        <f t="shared" si="17"/>
        <v>0</v>
      </c>
      <c r="L61" s="179">
        <f t="shared" si="17"/>
        <v>0</v>
      </c>
      <c r="M61" s="50"/>
      <c r="N61" s="309"/>
    </row>
  </sheetData>
  <sheetProtection algorithmName="SHA-512" hashValue="u/sZel04wVEEHIzi4bu9ujtVxgh8eRPbdPvtJn36dMdKOrCgETV2i2ougfp9hhFfDgVWsXO1DVq/u1QCph8qDw==" saltValue="u28YZMNKfNu8rx3OvnLaZw==" spinCount="100000" sheet="1" formatRows="0" insertRows="0"/>
  <mergeCells count="3">
    <mergeCell ref="B5:B6"/>
    <mergeCell ref="C5:C6"/>
    <mergeCell ref="E5:L5"/>
  </mergeCells>
  <conditionalFormatting sqref="D35">
    <cfRule type="expression" dxfId="38" priority="6">
      <formula>ABS(D$13)&gt;D$12</formula>
    </cfRule>
  </conditionalFormatting>
  <conditionalFormatting sqref="D39">
    <cfRule type="expression" dxfId="37" priority="1">
      <formula>ABS(D$13)&gt;D$12</formula>
    </cfRule>
  </conditionalFormatting>
  <conditionalFormatting sqref="D56">
    <cfRule type="expression" dxfId="36" priority="4">
      <formula>ABS(D$13)&gt;D$12</formula>
    </cfRule>
  </conditionalFormatting>
  <conditionalFormatting sqref="D2:L2">
    <cfRule type="cellIs" dxfId="35" priority="14" operator="between">
      <formula>0.0001</formula>
      <formula>3</formula>
    </cfRule>
    <cfRule type="cellIs" dxfId="34" priority="15" operator="between">
      <formula>-3</formula>
      <formula>-0.0001</formula>
    </cfRule>
    <cfRule type="cellIs" dxfId="33" priority="16" operator="lessThan">
      <formula>-3</formula>
    </cfRule>
    <cfRule type="cellIs" dxfId="32" priority="17" operator="greaterThan">
      <formula>3</formula>
    </cfRule>
  </conditionalFormatting>
  <conditionalFormatting sqref="D6:L6">
    <cfRule type="expression" dxfId="31" priority="10">
      <formula>D6="-"</formula>
    </cfRule>
  </conditionalFormatting>
  <conditionalFormatting sqref="D41:L41">
    <cfRule type="expression" dxfId="29" priority="12">
      <formula>D41&lt;0</formula>
    </cfRule>
  </conditionalFormatting>
  <conditionalFormatting sqref="E29:L29">
    <cfRule type="expression" dxfId="28" priority="7">
      <formula>E$29&lt;0</formula>
    </cfRule>
  </conditionalFormatting>
  <conditionalFormatting sqref="N2">
    <cfRule type="expression" dxfId="27" priority="2">
      <formula>ISNUMBER(SEARCH("Klaida", N2))</formula>
    </cfRule>
  </conditionalFormatting>
  <conditionalFormatting sqref="N29:N30">
    <cfRule type="expression" dxfId="26" priority="3">
      <formula>ISNUMBER(SEARCH("Klaida", N29))</formula>
    </cfRule>
  </conditionalFormatting>
  <conditionalFormatting sqref="N43:N48">
    <cfRule type="expression" dxfId="25" priority="9">
      <formula>ISNUMBER(SEARCH("Klaida", N43))</formula>
    </cfRule>
  </conditionalFormatting>
  <pageMargins left="0.70866141732283472" right="0.70866141732283472" top="0.74803149606299213" bottom="0.74803149606299213" header="0.31496062992125984" footer="0.31496062992125984"/>
  <pageSetup paperSize="9" pageOrder="overThenDown" orientation="landscape" horizontalDpi="4294967293" verticalDpi="4294967293" r:id="rId1"/>
  <ignoredErrors>
    <ignoredError sqref="D35" unlockedFormula="1"/>
  </ignoredErrors>
  <extLst>
    <ext xmlns:x14="http://schemas.microsoft.com/office/spreadsheetml/2009/9/main" uri="{78C0D931-6437-407d-A8EE-F0AAD7539E65}">
      <x14:conditionalFormattings>
        <x14:conditionalFormatting xmlns:xm="http://schemas.microsoft.com/office/excel/2006/main">
          <x14:cfRule type="expression" priority="11" id="{ECC16C22-C6F5-4EAD-9DA0-3021BDB52D9C}">
            <xm:f>AND(D6&gt;=YEAR(Parametrai!$C$13),D6&lt;=MIN(YEAR('1'!$C$18),YEAR(EOMONTH(Parametrai!$C$13,Parametrai!$C$14)),IF(Parametrai!$C$16&lt;&gt;0,YEAR(Parametrai!$C$16),YEAR(EOMONTH(Parametrai!$C$13,Parametrai!$C$14)))))</xm:f>
            <x14:dxf>
              <fill>
                <patternFill>
                  <bgColor rgb="FFFFF0D2"/>
                </patternFill>
              </fill>
            </x14:dxf>
          </x14:cfRule>
          <xm:sqref>D6:L6</xm:sqref>
        </x14:conditionalFormatting>
      </x14:conditionalFormattings>
    </ext>
  </extLst>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09BF4A0-B304-4B87-BDB4-8E154E4A6DBC}">
  <sheetPr codeName="Lapas17">
    <tabColor theme="9" tint="-0.499984740745262"/>
  </sheetPr>
  <dimension ref="B1:N36"/>
  <sheetViews>
    <sheetView topLeftCell="B1" zoomScale="120" zoomScaleNormal="120" workbookViewId="0">
      <pane xSplit="2" ySplit="6" topLeftCell="D27" activePane="bottomRight" state="frozen"/>
      <selection activeCell="J29" sqref="J29"/>
      <selection pane="topRight" activeCell="J29" sqref="J29"/>
      <selection pane="bottomLeft" activeCell="J29" sqref="J29"/>
      <selection pane="bottomRight" activeCell="D30" sqref="D30:L30"/>
    </sheetView>
  </sheetViews>
  <sheetFormatPr defaultColWidth="8.6640625" defaultRowHeight="13.8" x14ac:dyDescent="0.3"/>
  <cols>
    <col min="1" max="1" width="0" style="3" hidden="1" customWidth="1"/>
    <col min="2" max="2" width="5.88671875" style="3" customWidth="1"/>
    <col min="3" max="3" width="32.44140625" style="1" customWidth="1"/>
    <col min="4" max="12" width="10" style="3" customWidth="1"/>
    <col min="13" max="13" width="4.5546875" style="52" customWidth="1"/>
    <col min="14" max="14" width="44.109375" style="3" customWidth="1"/>
    <col min="15" max="15" width="6" style="3" customWidth="1"/>
    <col min="16" max="16" width="34.5546875" style="3" customWidth="1"/>
    <col min="17" max="16384" width="8.6640625" style="3"/>
  </cols>
  <sheetData>
    <row r="1" spans="2:14" x14ac:dyDescent="0.3">
      <c r="B1" s="134" t="s">
        <v>58</v>
      </c>
      <c r="C1" s="163" t="s">
        <v>88</v>
      </c>
      <c r="D1" s="134"/>
      <c r="E1" s="134"/>
      <c r="F1" s="134"/>
      <c r="G1" s="134"/>
      <c r="H1" s="134"/>
      <c r="I1" s="134"/>
      <c r="J1" s="134"/>
      <c r="K1" s="134"/>
      <c r="L1" s="134"/>
      <c r="N1" s="305" t="s">
        <v>224</v>
      </c>
    </row>
    <row r="2" spans="2:14" x14ac:dyDescent="0.3">
      <c r="C2" s="43" t="s">
        <v>89</v>
      </c>
      <c r="D2" s="393">
        <f>+'9.1_nvo'!D2</f>
        <v>0</v>
      </c>
      <c r="E2" s="393">
        <f>+'9.1_nvo'!E2</f>
        <v>0</v>
      </c>
      <c r="F2" s="393">
        <f>+'9.1_nvo'!F2</f>
        <v>0</v>
      </c>
      <c r="G2" s="393">
        <f>+'9.1_nvo'!G2</f>
        <v>0</v>
      </c>
      <c r="H2" s="393">
        <f>+'9.1_nvo'!H2</f>
        <v>0</v>
      </c>
      <c r="I2" s="393">
        <f>+'9.1_nvo'!I2</f>
        <v>0</v>
      </c>
      <c r="J2" s="393">
        <f>+'9.1_nvo'!J2</f>
        <v>0</v>
      </c>
      <c r="K2" s="393">
        <f>+'9.1_nvo'!K2</f>
        <v>0</v>
      </c>
      <c r="L2" s="393">
        <f>+'9.1_nvo'!L2</f>
        <v>0</v>
      </c>
      <c r="N2" s="267" t="str">
        <f>IF((COUNTIFS(D2:L2,"&gt;3")+COUNTIFS(D2:L2,"&lt;-3"))&gt;0,"Klaida! Patikrinkite duomenis, turtas iš viso nėra lygus nuosavybei ir įsipareigojimams iš viso","ok")</f>
        <v>ok</v>
      </c>
    </row>
    <row r="3" spans="2:14" x14ac:dyDescent="0.3">
      <c r="B3" s="134" t="s">
        <v>320</v>
      </c>
      <c r="C3" s="262" t="s">
        <v>647</v>
      </c>
      <c r="D3" s="134"/>
      <c r="E3" s="134"/>
      <c r="F3" s="134"/>
      <c r="G3" s="134"/>
      <c r="H3" s="134"/>
      <c r="I3" s="134"/>
      <c r="J3" s="134"/>
      <c r="K3" s="134"/>
      <c r="L3" s="134"/>
      <c r="M3" s="44"/>
      <c r="N3" s="309"/>
    </row>
    <row r="4" spans="2:14" x14ac:dyDescent="0.3">
      <c r="N4" s="309"/>
    </row>
    <row r="5" spans="2:14" ht="22.8" x14ac:dyDescent="0.3">
      <c r="B5" s="545" t="s">
        <v>21</v>
      </c>
      <c r="C5" s="500" t="s">
        <v>43</v>
      </c>
      <c r="D5" s="126" t="str">
        <f>IF(AND('1'!$C$22="Verslo pradžia",YEAR('1'!$E$22)=YEAR('1'!$C$11)),"Pradžios metai","Ataskaitiniai metai")</f>
        <v>Ataskaitiniai metai</v>
      </c>
      <c r="E5" s="470" t="s">
        <v>11</v>
      </c>
      <c r="F5" s="471"/>
      <c r="G5" s="471"/>
      <c r="H5" s="471"/>
      <c r="I5" s="471"/>
      <c r="J5" s="471"/>
      <c r="K5" s="471"/>
      <c r="L5" s="471"/>
      <c r="N5" s="309"/>
    </row>
    <row r="6" spans="2:14" ht="14.4" thickBot="1" x14ac:dyDescent="0.35">
      <c r="B6" s="546"/>
      <c r="C6" s="501"/>
      <c r="D6" s="364">
        <f>IF(D5="Pradžios metai",YEAR('1'!$E$22),IF((YEAR('1'!$C$11)-1)+COUNT($C6:C6)&gt;YEAR('1'!$C$18)+Parametrai!$C$15,"-",(YEAR('1'!$C$11)-1)+COUNT($C6:C6)))</f>
        <v>1899</v>
      </c>
      <c r="E6" s="364">
        <f>IF(E5="Pradžios metai",YEAR('1'!$E$22),IF((YEAR('1'!$C$11)-1)+COUNT($C6:D6)&gt;YEAR('1'!$C$18)+Parametrai!$C$15,"-",(YEAR('1'!$C$11)-1)+COUNT($C6:D6)))</f>
        <v>1900</v>
      </c>
      <c r="F6" s="364">
        <f>IF(F5="Pradžios metai",YEAR('1'!$E$22),IF((YEAR('1'!$C$11)-1)+COUNT($C6:E6)&gt;YEAR('1'!$C$18)+Parametrai!$C$15,"-",(YEAR('1'!$C$11)-1)+COUNT($C6:E6)))</f>
        <v>1901</v>
      </c>
      <c r="G6" s="364">
        <f>IF(G5="Pradžios metai",YEAR('1'!$E$22),IF((YEAR('1'!$C$11)-1)+COUNT($C6:F6)&gt;YEAR('1'!$C$18)+Parametrai!$C$15,"-",(YEAR('1'!$C$11)-1)+COUNT($C6:F6)))</f>
        <v>1902</v>
      </c>
      <c r="H6" s="364">
        <f>IF(H5="Pradžios metai",YEAR('1'!$E$22),IF((YEAR('1'!$C$11)-1)+COUNT($C6:G6)&gt;YEAR('1'!$C$18)+Parametrai!$C$15,"-",(YEAR('1'!$C$11)-1)+COUNT($C6:G6)))</f>
        <v>1903</v>
      </c>
      <c r="I6" s="364" t="str">
        <f>IF(I5="Pradžios metai",YEAR('1'!$E$22),IF((YEAR('1'!$C$11)-1)+COUNT($C6:H6)&gt;YEAR('1'!$C$18)+Parametrai!$C$15,"-",(YEAR('1'!$C$11)-1)+COUNT($C6:H6)))</f>
        <v>-</v>
      </c>
      <c r="J6" s="364" t="str">
        <f>IF(J5="Pradžios metai",YEAR('1'!$E$22),IF((YEAR('1'!$C$11)-1)+COUNT($C6:I6)&gt;YEAR('1'!$C$18)+Parametrai!$C$15,"-",(YEAR('1'!$C$11)-1)+COUNT($C6:I6)))</f>
        <v>-</v>
      </c>
      <c r="K6" s="364" t="str">
        <f>IF(K5="Pradžios metai",YEAR('1'!$E$22),IF((YEAR('1'!$C$11)-1)+COUNT($C6:J6)&gt;YEAR('1'!$C$18)+Parametrai!$C$15,"-",(YEAR('1'!$C$11)-1)+COUNT($C6:J6)))</f>
        <v>-</v>
      </c>
      <c r="L6" s="364" t="str">
        <f>IF(L5="Pradžios metai",YEAR('1'!$E$22),IF((YEAR('1'!$C$11)-1)+COUNT($C6:K6)&gt;YEAR('1'!$C$18)+Parametrai!$C$15,"-",(YEAR('1'!$C$11)-1)+COUNT($C6:K6)))</f>
        <v>-</v>
      </c>
      <c r="N6" s="309"/>
    </row>
    <row r="7" spans="2:14" ht="14.4" thickTop="1" x14ac:dyDescent="0.3">
      <c r="B7" s="53" t="s">
        <v>327</v>
      </c>
      <c r="C7" s="54" t="s">
        <v>597</v>
      </c>
      <c r="D7" s="390">
        <f t="shared" ref="D7:L7" si="0">SUM(D8:D11,D15)</f>
        <v>0</v>
      </c>
      <c r="E7" s="390">
        <f t="shared" si="0"/>
        <v>0</v>
      </c>
      <c r="F7" s="390">
        <f t="shared" si="0"/>
        <v>0</v>
      </c>
      <c r="G7" s="390">
        <f t="shared" si="0"/>
        <v>0</v>
      </c>
      <c r="H7" s="390">
        <f t="shared" si="0"/>
        <v>0</v>
      </c>
      <c r="I7" s="390">
        <f t="shared" si="0"/>
        <v>0</v>
      </c>
      <c r="J7" s="390">
        <f t="shared" si="0"/>
        <v>0</v>
      </c>
      <c r="K7" s="390">
        <f t="shared" si="0"/>
        <v>0</v>
      </c>
      <c r="L7" s="390">
        <f t="shared" si="0"/>
        <v>0</v>
      </c>
      <c r="M7" s="55"/>
      <c r="N7" s="309"/>
    </row>
    <row r="8" spans="2:14" x14ac:dyDescent="0.3">
      <c r="B8" s="21" t="s">
        <v>629</v>
      </c>
      <c r="C8" s="56" t="s">
        <v>175</v>
      </c>
      <c r="D8" s="390">
        <f>'4'!D7</f>
        <v>0</v>
      </c>
      <c r="E8" s="390">
        <f>'4'!E7</f>
        <v>0</v>
      </c>
      <c r="F8" s="390">
        <f>'4'!F7</f>
        <v>0</v>
      </c>
      <c r="G8" s="390">
        <f>'4'!G7</f>
        <v>0</v>
      </c>
      <c r="H8" s="390">
        <f>'4'!H7</f>
        <v>0</v>
      </c>
      <c r="I8" s="390">
        <f>'4'!I7</f>
        <v>0</v>
      </c>
      <c r="J8" s="390">
        <f>'4'!J7</f>
        <v>0</v>
      </c>
      <c r="K8" s="390">
        <f>'4'!K7</f>
        <v>0</v>
      </c>
      <c r="L8" s="390">
        <f>'4'!L7</f>
        <v>0</v>
      </c>
      <c r="M8" s="55"/>
      <c r="N8" s="309"/>
    </row>
    <row r="9" spans="2:14" x14ac:dyDescent="0.3">
      <c r="B9" s="21" t="s">
        <v>630</v>
      </c>
      <c r="C9" s="56" t="s">
        <v>176</v>
      </c>
      <c r="D9" s="390">
        <f>'4'!D8</f>
        <v>0</v>
      </c>
      <c r="E9" s="390">
        <f>'4'!E8</f>
        <v>0</v>
      </c>
      <c r="F9" s="390">
        <f>'4'!F8</f>
        <v>0</v>
      </c>
      <c r="G9" s="390">
        <f>'4'!G8</f>
        <v>0</v>
      </c>
      <c r="H9" s="390">
        <f>'4'!H8</f>
        <v>0</v>
      </c>
      <c r="I9" s="390">
        <f>'4'!I8</f>
        <v>0</v>
      </c>
      <c r="J9" s="390">
        <f>'4'!J8</f>
        <v>0</v>
      </c>
      <c r="K9" s="390">
        <f>'4'!K8</f>
        <v>0</v>
      </c>
      <c r="L9" s="390">
        <f>'4'!L8</f>
        <v>0</v>
      </c>
      <c r="M9" s="55"/>
      <c r="N9" s="309"/>
    </row>
    <row r="10" spans="2:14" x14ac:dyDescent="0.3">
      <c r="B10" s="21" t="s">
        <v>631</v>
      </c>
      <c r="C10" s="56" t="s">
        <v>178</v>
      </c>
      <c r="D10" s="390">
        <f>+'4'!D9</f>
        <v>0</v>
      </c>
      <c r="E10" s="390">
        <f>+'4'!E9</f>
        <v>0</v>
      </c>
      <c r="F10" s="390">
        <f>+'4'!F9</f>
        <v>0</v>
      </c>
      <c r="G10" s="390">
        <f>+'4'!G9</f>
        <v>0</v>
      </c>
      <c r="H10" s="390">
        <f>+'4'!H9</f>
        <v>0</v>
      </c>
      <c r="I10" s="390">
        <f>+'4'!I9</f>
        <v>0</v>
      </c>
      <c r="J10" s="390">
        <f>+'4'!J9</f>
        <v>0</v>
      </c>
      <c r="K10" s="390">
        <f>+'4'!K9</f>
        <v>0</v>
      </c>
      <c r="L10" s="390">
        <f>+'4'!L9</f>
        <v>0</v>
      </c>
      <c r="M10" s="55"/>
      <c r="N10" s="309"/>
    </row>
    <row r="11" spans="2:14" x14ac:dyDescent="0.3">
      <c r="B11" s="21" t="s">
        <v>632</v>
      </c>
      <c r="C11" s="56" t="s">
        <v>598</v>
      </c>
      <c r="D11" s="390">
        <f>SUM(D12:D14)</f>
        <v>0</v>
      </c>
      <c r="E11" s="390">
        <f>SUM(E12:E14)</f>
        <v>0</v>
      </c>
      <c r="F11" s="390">
        <f t="shared" ref="F11:L11" si="1">SUM(F12:F14)</f>
        <v>0</v>
      </c>
      <c r="G11" s="390">
        <f t="shared" si="1"/>
        <v>0</v>
      </c>
      <c r="H11" s="390">
        <f t="shared" si="1"/>
        <v>0</v>
      </c>
      <c r="I11" s="390">
        <f t="shared" si="1"/>
        <v>0</v>
      </c>
      <c r="J11" s="390">
        <f t="shared" si="1"/>
        <v>0</v>
      </c>
      <c r="K11" s="390">
        <f t="shared" si="1"/>
        <v>0</v>
      </c>
      <c r="L11" s="390">
        <f t="shared" si="1"/>
        <v>0</v>
      </c>
      <c r="M11" s="55"/>
      <c r="N11" s="309"/>
    </row>
    <row r="12" spans="2:14" ht="36" x14ac:dyDescent="0.3">
      <c r="B12" s="261" t="s">
        <v>633</v>
      </c>
      <c r="C12" s="56" t="s">
        <v>774</v>
      </c>
      <c r="D12" s="351"/>
      <c r="E12" s="351"/>
      <c r="F12" s="351"/>
      <c r="G12" s="351"/>
      <c r="H12" s="351"/>
      <c r="I12" s="351"/>
      <c r="J12" s="351"/>
      <c r="K12" s="351"/>
      <c r="L12" s="351"/>
      <c r="M12" s="55"/>
      <c r="N12" s="309"/>
    </row>
    <row r="13" spans="2:14" ht="24" x14ac:dyDescent="0.3">
      <c r="B13" s="261" t="s">
        <v>634</v>
      </c>
      <c r="C13" s="56" t="s">
        <v>775</v>
      </c>
      <c r="D13" s="390">
        <f>-'7'!C13</f>
        <v>0</v>
      </c>
      <c r="E13" s="390">
        <f>-'7'!D13</f>
        <v>0</v>
      </c>
      <c r="F13" s="390">
        <f>-'7'!E13</f>
        <v>0</v>
      </c>
      <c r="G13" s="390">
        <f>-'7'!F13</f>
        <v>0</v>
      </c>
      <c r="H13" s="390">
        <f>-'7'!G13</f>
        <v>0</v>
      </c>
      <c r="I13" s="390">
        <f>-'7'!H13</f>
        <v>0</v>
      </c>
      <c r="J13" s="390">
        <f>-'7'!I13</f>
        <v>0</v>
      </c>
      <c r="K13" s="390">
        <f>-'7'!J13</f>
        <v>0</v>
      </c>
      <c r="L13" s="390">
        <f>-'7'!K13</f>
        <v>0</v>
      </c>
      <c r="M13" s="55"/>
      <c r="N13" s="309"/>
    </row>
    <row r="14" spans="2:14" x14ac:dyDescent="0.3">
      <c r="B14" s="261" t="s">
        <v>650</v>
      </c>
      <c r="C14" s="56" t="s">
        <v>599</v>
      </c>
      <c r="D14" s="351"/>
      <c r="E14" s="351"/>
      <c r="F14" s="351"/>
      <c r="G14" s="351"/>
      <c r="H14" s="351"/>
      <c r="I14" s="351"/>
      <c r="J14" s="351"/>
      <c r="K14" s="351"/>
      <c r="L14" s="351"/>
      <c r="M14" s="55"/>
      <c r="N14" s="311" t="s">
        <v>803</v>
      </c>
    </row>
    <row r="15" spans="2:14" x14ac:dyDescent="0.3">
      <c r="B15" s="21" t="s">
        <v>635</v>
      </c>
      <c r="C15" s="56" t="s">
        <v>600</v>
      </c>
      <c r="D15" s="351"/>
      <c r="E15" s="351"/>
      <c r="F15" s="351"/>
      <c r="G15" s="351"/>
      <c r="H15" s="351"/>
      <c r="I15" s="351"/>
      <c r="J15" s="351"/>
      <c r="K15" s="351"/>
      <c r="L15" s="351"/>
      <c r="M15" s="55"/>
      <c r="N15" s="311" t="s">
        <v>875</v>
      </c>
    </row>
    <row r="16" spans="2:14" x14ac:dyDescent="0.3">
      <c r="B16" s="21" t="s">
        <v>328</v>
      </c>
      <c r="C16" s="56" t="s">
        <v>601</v>
      </c>
      <c r="D16" s="391">
        <f>SUM(D17:D19)</f>
        <v>0</v>
      </c>
      <c r="E16" s="391">
        <f t="shared" ref="E16:L16" si="2">SUM(E17:E19)</f>
        <v>0</v>
      </c>
      <c r="F16" s="391">
        <f t="shared" si="2"/>
        <v>0</v>
      </c>
      <c r="G16" s="391">
        <f t="shared" si="2"/>
        <v>0</v>
      </c>
      <c r="H16" s="391">
        <f t="shared" si="2"/>
        <v>0</v>
      </c>
      <c r="I16" s="391">
        <f t="shared" si="2"/>
        <v>0</v>
      </c>
      <c r="J16" s="391">
        <f t="shared" si="2"/>
        <v>0</v>
      </c>
      <c r="K16" s="391">
        <f t="shared" si="2"/>
        <v>0</v>
      </c>
      <c r="L16" s="391">
        <f t="shared" si="2"/>
        <v>0</v>
      </c>
      <c r="M16" s="55"/>
      <c r="N16" s="309"/>
    </row>
    <row r="17" spans="2:14" x14ac:dyDescent="0.3">
      <c r="B17" s="21" t="s">
        <v>636</v>
      </c>
      <c r="C17" s="13" t="s">
        <v>602</v>
      </c>
      <c r="D17" s="391">
        <f>-'7'!C14+'7'!C13</f>
        <v>0</v>
      </c>
      <c r="E17" s="391">
        <f>-'7'!D14+'7'!D13</f>
        <v>0</v>
      </c>
      <c r="F17" s="391">
        <f>-'7'!E14+'7'!E13</f>
        <v>0</v>
      </c>
      <c r="G17" s="391">
        <f>-'7'!F14+'7'!F13</f>
        <v>0</v>
      </c>
      <c r="H17" s="391">
        <f>-'7'!G14+'7'!G13</f>
        <v>0</v>
      </c>
      <c r="I17" s="391">
        <f>-'7'!H14+'7'!H13</f>
        <v>0</v>
      </c>
      <c r="J17" s="391">
        <f>-'7'!I14+'7'!I13</f>
        <v>0</v>
      </c>
      <c r="K17" s="391">
        <f>-'7'!J14+'7'!J13</f>
        <v>0</v>
      </c>
      <c r="L17" s="391">
        <f>-'7'!K14+'7'!K13</f>
        <v>0</v>
      </c>
      <c r="N17" s="309"/>
    </row>
    <row r="18" spans="2:14" x14ac:dyDescent="0.3">
      <c r="B18" s="21" t="s">
        <v>637</v>
      </c>
      <c r="C18" s="13" t="s">
        <v>603</v>
      </c>
      <c r="D18" s="351"/>
      <c r="E18" s="351"/>
      <c r="F18" s="351"/>
      <c r="G18" s="351"/>
      <c r="H18" s="351"/>
      <c r="I18" s="351"/>
      <c r="J18" s="351"/>
      <c r="K18" s="351"/>
      <c r="L18" s="351"/>
      <c r="N18" s="311" t="s">
        <v>802</v>
      </c>
    </row>
    <row r="19" spans="2:14" x14ac:dyDescent="0.3">
      <c r="B19" s="21" t="s">
        <v>638</v>
      </c>
      <c r="C19" s="13" t="s">
        <v>604</v>
      </c>
      <c r="D19" s="391">
        <f>SUM(D20:D24)</f>
        <v>0</v>
      </c>
      <c r="E19" s="391">
        <f t="shared" ref="E19:L19" si="3">SUM(E20:E24)</f>
        <v>0</v>
      </c>
      <c r="F19" s="391">
        <f t="shared" si="3"/>
        <v>0</v>
      </c>
      <c r="G19" s="391">
        <f t="shared" si="3"/>
        <v>0</v>
      </c>
      <c r="H19" s="391">
        <f t="shared" si="3"/>
        <v>0</v>
      </c>
      <c r="I19" s="391">
        <f t="shared" si="3"/>
        <v>0</v>
      </c>
      <c r="J19" s="391">
        <f t="shared" si="3"/>
        <v>0</v>
      </c>
      <c r="K19" s="391">
        <f t="shared" si="3"/>
        <v>0</v>
      </c>
      <c r="L19" s="391">
        <f t="shared" si="3"/>
        <v>0</v>
      </c>
      <c r="N19" s="309"/>
    </row>
    <row r="20" spans="2:14" x14ac:dyDescent="0.3">
      <c r="B20" s="261" t="s">
        <v>640</v>
      </c>
      <c r="C20" s="13" t="s">
        <v>605</v>
      </c>
      <c r="D20" s="391">
        <f>-'7'!C21</f>
        <v>0</v>
      </c>
      <c r="E20" s="391">
        <f>-'7'!D21</f>
        <v>0</v>
      </c>
      <c r="F20" s="391">
        <f>-'7'!E21</f>
        <v>0</v>
      </c>
      <c r="G20" s="391">
        <f>-'7'!F21</f>
        <v>0</v>
      </c>
      <c r="H20" s="391">
        <f>-'7'!G21</f>
        <v>0</v>
      </c>
      <c r="I20" s="391">
        <f>-'7'!H21</f>
        <v>0</v>
      </c>
      <c r="J20" s="391">
        <f>-'7'!I21</f>
        <v>0</v>
      </c>
      <c r="K20" s="391">
        <f>-'7'!J21</f>
        <v>0</v>
      </c>
      <c r="L20" s="391">
        <f>-'7'!K21</f>
        <v>0</v>
      </c>
      <c r="N20" s="309"/>
    </row>
    <row r="21" spans="2:14" x14ac:dyDescent="0.3">
      <c r="B21" s="261" t="s">
        <v>641</v>
      </c>
      <c r="C21" s="13" t="s">
        <v>606</v>
      </c>
      <c r="D21" s="391">
        <f>-'7'!C24</f>
        <v>0</v>
      </c>
      <c r="E21" s="391">
        <f>-'7'!D24</f>
        <v>0</v>
      </c>
      <c r="F21" s="391">
        <f>-'7'!E24</f>
        <v>0</v>
      </c>
      <c r="G21" s="391">
        <f>-'7'!F24</f>
        <v>0</v>
      </c>
      <c r="H21" s="391">
        <f>-'7'!G24</f>
        <v>0</v>
      </c>
      <c r="I21" s="391">
        <f>-'7'!H24</f>
        <v>0</v>
      </c>
      <c r="J21" s="391">
        <f>-'7'!I24</f>
        <v>0</v>
      </c>
      <c r="K21" s="391">
        <f>-'7'!J24</f>
        <v>0</v>
      </c>
      <c r="L21" s="391">
        <f>-'7'!K24</f>
        <v>0</v>
      </c>
      <c r="N21" s="309"/>
    </row>
    <row r="22" spans="2:14" x14ac:dyDescent="0.3">
      <c r="B22" s="261" t="s">
        <v>642</v>
      </c>
      <c r="C22" s="13" t="s">
        <v>607</v>
      </c>
      <c r="D22" s="391">
        <f>-'7'!C23</f>
        <v>0</v>
      </c>
      <c r="E22" s="391">
        <f>-'7'!D23</f>
        <v>0</v>
      </c>
      <c r="F22" s="391">
        <f>-'7'!E23</f>
        <v>0</v>
      </c>
      <c r="G22" s="391">
        <f>-'7'!F23</f>
        <v>0</v>
      </c>
      <c r="H22" s="391">
        <f>-'7'!G23</f>
        <v>0</v>
      </c>
      <c r="I22" s="391">
        <f>-'7'!H23</f>
        <v>0</v>
      </c>
      <c r="J22" s="391">
        <f>-'7'!I23</f>
        <v>0</v>
      </c>
      <c r="K22" s="391">
        <f>-'7'!J23</f>
        <v>0</v>
      </c>
      <c r="L22" s="391">
        <f>-'7'!K23</f>
        <v>0</v>
      </c>
      <c r="N22" s="309"/>
    </row>
    <row r="23" spans="2:14" x14ac:dyDescent="0.3">
      <c r="B23" s="261" t="s">
        <v>643</v>
      </c>
      <c r="C23" s="56" t="s">
        <v>439</v>
      </c>
      <c r="D23" s="391">
        <f>-('8'!D25 + '8'!D35)</f>
        <v>0</v>
      </c>
      <c r="E23" s="391">
        <f>-('8'!E25 + '8'!E35)</f>
        <v>0</v>
      </c>
      <c r="F23" s="391">
        <f>-('8'!F25 + '8'!F35)</f>
        <v>0</v>
      </c>
      <c r="G23" s="391">
        <f>-('8'!G25 + '8'!G35)</f>
        <v>0</v>
      </c>
      <c r="H23" s="391">
        <f>-('8'!H25 + '8'!H35)</f>
        <v>0</v>
      </c>
      <c r="I23" s="391">
        <f>-('8'!I25 + '8'!I35)</f>
        <v>0</v>
      </c>
      <c r="J23" s="391">
        <f>-('8'!J25 + '8'!J35)</f>
        <v>0</v>
      </c>
      <c r="K23" s="391">
        <f>-('8'!K25 + '8'!K35)</f>
        <v>0</v>
      </c>
      <c r="L23" s="391">
        <f>-('8'!L25 + '8'!L35)</f>
        <v>0</v>
      </c>
      <c r="N23" s="309"/>
    </row>
    <row r="24" spans="2:14" x14ac:dyDescent="0.3">
      <c r="B24" s="261" t="s">
        <v>644</v>
      </c>
      <c r="C24" s="13" t="s">
        <v>639</v>
      </c>
      <c r="D24" s="391">
        <f>-'7'!C29-SUM(D21:D22)</f>
        <v>0</v>
      </c>
      <c r="E24" s="391">
        <f>-'7'!D29-SUM(E21:E22)</f>
        <v>0</v>
      </c>
      <c r="F24" s="391">
        <f>-'7'!E29-SUM(F21:F22)</f>
        <v>0</v>
      </c>
      <c r="G24" s="391">
        <f>-'7'!F29-SUM(G21:G22)</f>
        <v>0</v>
      </c>
      <c r="H24" s="391">
        <f>-'7'!G29-SUM(H21:H22)</f>
        <v>0</v>
      </c>
      <c r="I24" s="391">
        <f>-'7'!H29-SUM(I21:I22)</f>
        <v>0</v>
      </c>
      <c r="J24" s="391">
        <f>-'7'!I29-SUM(J21:J22)</f>
        <v>0</v>
      </c>
      <c r="K24" s="391">
        <f>-'7'!J29-SUM(K21:K22)</f>
        <v>0</v>
      </c>
      <c r="L24" s="391">
        <f>-'7'!K29-SUM(L21:L22)</f>
        <v>0</v>
      </c>
      <c r="N24" s="309"/>
    </row>
    <row r="25" spans="2:14" ht="24" x14ac:dyDescent="0.3">
      <c r="B25" s="21" t="s">
        <v>445</v>
      </c>
      <c r="C25" s="13" t="s">
        <v>608</v>
      </c>
      <c r="D25" s="391">
        <f>SUM(D7,D16)</f>
        <v>0</v>
      </c>
      <c r="E25" s="391">
        <f t="shared" ref="E25:L25" si="4">SUM(E7,E16)</f>
        <v>0</v>
      </c>
      <c r="F25" s="391">
        <f t="shared" si="4"/>
        <v>0</v>
      </c>
      <c r="G25" s="391">
        <f t="shared" si="4"/>
        <v>0</v>
      </c>
      <c r="H25" s="391">
        <f t="shared" si="4"/>
        <v>0</v>
      </c>
      <c r="I25" s="391">
        <f t="shared" si="4"/>
        <v>0</v>
      </c>
      <c r="J25" s="391">
        <f t="shared" si="4"/>
        <v>0</v>
      </c>
      <c r="K25" s="391">
        <f t="shared" si="4"/>
        <v>0</v>
      </c>
      <c r="L25" s="391">
        <f t="shared" si="4"/>
        <v>0</v>
      </c>
      <c r="N25" s="309"/>
    </row>
    <row r="26" spans="2:14" x14ac:dyDescent="0.3">
      <c r="B26" s="21" t="s">
        <v>446</v>
      </c>
      <c r="C26" s="56" t="s">
        <v>609</v>
      </c>
      <c r="D26" s="351"/>
      <c r="E26" s="396">
        <f t="shared" ref="E26:L26" si="5">IF((E25-E11)&lt;0,0,-((E25-E11)*E29))</f>
        <v>0</v>
      </c>
      <c r="F26" s="396">
        <f t="shared" si="5"/>
        <v>0</v>
      </c>
      <c r="G26" s="396">
        <f t="shared" si="5"/>
        <v>0</v>
      </c>
      <c r="H26" s="396">
        <f t="shared" si="5"/>
        <v>0</v>
      </c>
      <c r="I26" s="396">
        <f t="shared" si="5"/>
        <v>0</v>
      </c>
      <c r="J26" s="396">
        <f t="shared" si="5"/>
        <v>0</v>
      </c>
      <c r="K26" s="396">
        <f t="shared" si="5"/>
        <v>0</v>
      </c>
      <c r="L26" s="396">
        <f t="shared" si="5"/>
        <v>0</v>
      </c>
      <c r="N26" s="309"/>
    </row>
    <row r="27" spans="2:14" x14ac:dyDescent="0.3">
      <c r="B27" s="213" t="s">
        <v>447</v>
      </c>
      <c r="C27" s="214" t="s">
        <v>610</v>
      </c>
      <c r="D27" s="397">
        <f t="shared" ref="D27:L27" si="6">SUM(D25,D26)</f>
        <v>0</v>
      </c>
      <c r="E27" s="397">
        <f t="shared" si="6"/>
        <v>0</v>
      </c>
      <c r="F27" s="397">
        <f t="shared" si="6"/>
        <v>0</v>
      </c>
      <c r="G27" s="397">
        <f t="shared" si="6"/>
        <v>0</v>
      </c>
      <c r="H27" s="397">
        <f t="shared" si="6"/>
        <v>0</v>
      </c>
      <c r="I27" s="397">
        <f t="shared" si="6"/>
        <v>0</v>
      </c>
      <c r="J27" s="397">
        <f t="shared" si="6"/>
        <v>0</v>
      </c>
      <c r="K27" s="397">
        <f t="shared" si="6"/>
        <v>0</v>
      </c>
      <c r="L27" s="397">
        <f t="shared" si="6"/>
        <v>0</v>
      </c>
      <c r="N27" s="309"/>
    </row>
    <row r="28" spans="2:14" x14ac:dyDescent="0.3">
      <c r="D28" s="108"/>
      <c r="E28" s="108"/>
      <c r="F28" s="108"/>
      <c r="G28" s="108"/>
      <c r="H28" s="108"/>
      <c r="I28" s="108"/>
      <c r="J28" s="108"/>
      <c r="K28" s="108"/>
      <c r="L28" s="108"/>
      <c r="N28" s="309"/>
    </row>
    <row r="29" spans="2:14" x14ac:dyDescent="0.3">
      <c r="B29" s="21" t="s">
        <v>448</v>
      </c>
      <c r="C29" s="13" t="s">
        <v>322</v>
      </c>
      <c r="D29" s="398" t="str">
        <f>IFERROR(-D26/D25,"-")</f>
        <v>-</v>
      </c>
      <c r="E29" s="358">
        <v>0.15</v>
      </c>
      <c r="F29" s="358">
        <v>0.15</v>
      </c>
      <c r="G29" s="358">
        <v>0.15</v>
      </c>
      <c r="H29" s="358">
        <v>0.15</v>
      </c>
      <c r="I29" s="358">
        <v>0.15</v>
      </c>
      <c r="J29" s="358">
        <v>0.15</v>
      </c>
      <c r="K29" s="358">
        <v>0.15</v>
      </c>
      <c r="L29" s="358">
        <v>0.15</v>
      </c>
      <c r="N29" s="309"/>
    </row>
    <row r="30" spans="2:14" ht="28.95" customHeight="1" x14ac:dyDescent="0.3">
      <c r="B30" s="21" t="s">
        <v>449</v>
      </c>
      <c r="C30" s="13" t="s">
        <v>323</v>
      </c>
      <c r="D30" s="548"/>
      <c r="E30" s="549"/>
      <c r="F30" s="549"/>
      <c r="G30" s="549"/>
      <c r="H30" s="549"/>
      <c r="I30" s="549"/>
      <c r="J30" s="549"/>
      <c r="K30" s="549"/>
      <c r="L30" s="549"/>
      <c r="N30" s="312" t="s">
        <v>874</v>
      </c>
    </row>
    <row r="32" spans="2:14" x14ac:dyDescent="0.3">
      <c r="B32" s="134"/>
      <c r="C32" s="262" t="s">
        <v>894</v>
      </c>
      <c r="D32" s="134"/>
      <c r="E32" s="134"/>
      <c r="F32" s="134"/>
      <c r="G32" s="134"/>
      <c r="H32" s="134"/>
      <c r="I32" s="134"/>
      <c r="J32" s="134"/>
      <c r="K32" s="134"/>
      <c r="L32" s="134"/>
      <c r="N32" s="309"/>
    </row>
    <row r="33" spans="2:14" ht="15" customHeight="1" x14ac:dyDescent="0.3">
      <c r="B33" s="550" t="s">
        <v>926</v>
      </c>
      <c r="C33" s="550"/>
      <c r="D33" s="550"/>
      <c r="E33" s="550"/>
      <c r="F33" s="550"/>
      <c r="G33" s="550"/>
      <c r="H33" s="550"/>
      <c r="I33" s="550"/>
      <c r="J33" s="550"/>
      <c r="K33" s="550"/>
      <c r="L33" s="550"/>
      <c r="N33" s="547" t="s">
        <v>895</v>
      </c>
    </row>
    <row r="34" spans="2:14" ht="23.25" customHeight="1" x14ac:dyDescent="0.3">
      <c r="B34" s="550"/>
      <c r="C34" s="550"/>
      <c r="D34" s="550"/>
      <c r="E34" s="550"/>
      <c r="F34" s="550"/>
      <c r="G34" s="550"/>
      <c r="H34" s="550"/>
      <c r="I34" s="550"/>
      <c r="J34" s="550"/>
      <c r="K34" s="550"/>
      <c r="L34" s="550"/>
      <c r="N34" s="547"/>
    </row>
    <row r="35" spans="2:14" x14ac:dyDescent="0.3">
      <c r="B35" s="550"/>
      <c r="C35" s="550"/>
      <c r="D35" s="550"/>
      <c r="E35" s="550"/>
      <c r="F35" s="550"/>
      <c r="G35" s="550"/>
      <c r="H35" s="550"/>
      <c r="I35" s="550"/>
      <c r="J35" s="550"/>
      <c r="K35" s="550"/>
      <c r="L35" s="550"/>
      <c r="N35" s="547"/>
    </row>
    <row r="36" spans="2:14" x14ac:dyDescent="0.3">
      <c r="B36" s="550"/>
      <c r="C36" s="550"/>
      <c r="D36" s="550"/>
      <c r="E36" s="550"/>
      <c r="F36" s="550"/>
      <c r="G36" s="550"/>
      <c r="H36" s="550"/>
      <c r="I36" s="550"/>
      <c r="J36" s="550"/>
      <c r="K36" s="550"/>
      <c r="L36" s="550"/>
      <c r="N36" s="547"/>
    </row>
  </sheetData>
  <sheetProtection algorithmName="SHA-512" hashValue="Qou6wGzqggE1eT8253XfCj4BLkA1AoQXAS5ex3xmWeQJDG1dTViDXHPV8tKRSrJsWvD23GO6kiWjmanu/Wuy9w==" saltValue="3I+E1VhAZTPcFRvH9t616w==" spinCount="100000" sheet="1" objects="1" scenarios="1" formatRows="0" insertRows="0"/>
  <mergeCells count="6">
    <mergeCell ref="N33:N36"/>
    <mergeCell ref="B5:B6"/>
    <mergeCell ref="C5:C6"/>
    <mergeCell ref="E5:L5"/>
    <mergeCell ref="D30:L30"/>
    <mergeCell ref="B33:L36"/>
  </mergeCells>
  <phoneticPr fontId="12" type="noConversion"/>
  <conditionalFormatting sqref="D2:L2">
    <cfRule type="cellIs" dxfId="24" priority="5" operator="between">
      <formula>0.0001</formula>
      <formula>3</formula>
    </cfRule>
    <cfRule type="cellIs" dxfId="23" priority="6" operator="between">
      <formula>-3</formula>
      <formula>-0.0001</formula>
    </cfRule>
    <cfRule type="cellIs" dxfId="22" priority="7" operator="lessThan">
      <formula>-3</formula>
    </cfRule>
    <cfRule type="cellIs" dxfId="21" priority="8" operator="greaterThan">
      <formula>3</formula>
    </cfRule>
  </conditionalFormatting>
  <conditionalFormatting sqref="D6:L6">
    <cfRule type="expression" dxfId="20" priority="2">
      <formula>D6="-"</formula>
    </cfRule>
  </conditionalFormatting>
  <conditionalFormatting sqref="N2">
    <cfRule type="expression" dxfId="18" priority="1">
      <formula>ISNUMBER(SEARCH("Klaida", N2))</formula>
    </cfRule>
  </conditionalFormatting>
  <dataValidations count="1">
    <dataValidation type="whole" operator="lessThan" allowBlank="1" showInputMessage="1" showErrorMessage="1" error="Įveskite neigiamą skaičių" prompt="Įveskite neigiamą skaičių" sqref="D26 D18:L18" xr:uid="{567BEB53-C0EC-4D51-9D2B-8C35788DA9C9}">
      <formula1>0</formula1>
    </dataValidation>
  </dataValidations>
  <pageMargins left="0.70866141732283472" right="0.70866141732283472" top="0.74803149606299213" bottom="0.74803149606299213" header="0.31496062992125984" footer="0.31496062992125984"/>
  <pageSetup paperSize="9" pageOrder="overThenDown" orientation="landscape" blackAndWhite="1" horizontalDpi="4294967293" verticalDpi="4294967293" r:id="rId1"/>
  <extLst>
    <ext xmlns:x14="http://schemas.microsoft.com/office/spreadsheetml/2009/9/main" uri="{78C0D931-6437-407d-A8EE-F0AAD7539E65}">
      <x14:conditionalFormattings>
        <x14:conditionalFormatting xmlns:xm="http://schemas.microsoft.com/office/excel/2006/main">
          <x14:cfRule type="expression" priority="3" id="{EB9A0E75-82C7-4816-A8A8-2864CA316447}">
            <xm:f>AND(D6&gt;=YEAR(Parametrai!$C$13),D6&lt;=MIN(YEAR('1'!$C$18),YEAR(EOMONTH(Parametrai!$C$13,Parametrai!$C$14)),IF(Parametrai!$C$16&lt;&gt;0,YEAR(Parametrai!$C$16),YEAR(EOMONTH(Parametrai!$C$13,Parametrai!$C$14)))))</xm:f>
            <x14:dxf>
              <fill>
                <patternFill>
                  <bgColor rgb="FFFFF0D2"/>
                </patternFill>
              </fill>
            </x14:dxf>
          </x14:cfRule>
          <xm:sqref>D6:L6</xm:sqref>
        </x14:conditionalFormatting>
      </x14:conditionalFormattings>
    </ext>
  </extLst>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F0B22CA-934B-42D8-9474-1C31122EC4E6}">
  <sheetPr codeName="Lapas18">
    <tabColor theme="9" tint="-0.499984740745262"/>
  </sheetPr>
  <dimension ref="A1:N50"/>
  <sheetViews>
    <sheetView topLeftCell="B1" zoomScale="120" zoomScaleNormal="120" workbookViewId="0">
      <pane xSplit="2" ySplit="6" topLeftCell="D40" activePane="bottomRight" state="frozen"/>
      <selection activeCell="J29" sqref="J29"/>
      <selection pane="topRight" activeCell="J29" sqref="J29"/>
      <selection pane="bottomLeft" activeCell="J29" sqref="J29"/>
      <selection pane="bottomRight" activeCell="H50" sqref="H50"/>
    </sheetView>
  </sheetViews>
  <sheetFormatPr defaultColWidth="8.6640625" defaultRowHeight="13.8" x14ac:dyDescent="0.3"/>
  <cols>
    <col min="1" max="1" width="0" style="3" hidden="1" customWidth="1"/>
    <col min="2" max="2" width="6.33203125" style="3" customWidth="1"/>
    <col min="3" max="3" width="33.44140625" style="1" customWidth="1"/>
    <col min="4" max="12" width="10" style="3" customWidth="1"/>
    <col min="13" max="13" width="4.44140625" style="4" customWidth="1"/>
    <col min="14" max="14" width="43.5546875" style="3" customWidth="1"/>
    <col min="15" max="16384" width="8.6640625" style="3"/>
  </cols>
  <sheetData>
    <row r="1" spans="1:14" ht="14.4" x14ac:dyDescent="0.3">
      <c r="B1" s="134" t="s">
        <v>58</v>
      </c>
      <c r="C1" s="163" t="s">
        <v>88</v>
      </c>
      <c r="D1" s="134"/>
      <c r="E1" s="134"/>
      <c r="F1" s="134"/>
      <c r="G1" s="134"/>
      <c r="H1" s="134"/>
      <c r="I1" s="134"/>
      <c r="J1" s="134"/>
      <c r="K1" s="134"/>
      <c r="L1" s="134"/>
      <c r="N1" s="299" t="s">
        <v>224</v>
      </c>
    </row>
    <row r="2" spans="1:14" x14ac:dyDescent="0.3">
      <c r="C2" s="43" t="s">
        <v>89</v>
      </c>
      <c r="D2" s="393">
        <f>'9.1_nvo'!D2</f>
        <v>0</v>
      </c>
      <c r="E2" s="393">
        <f>'9.1_nvo'!E2</f>
        <v>0</v>
      </c>
      <c r="F2" s="393">
        <f>'9.1_nvo'!F2</f>
        <v>0</v>
      </c>
      <c r="G2" s="393">
        <f>'9.1_nvo'!G2</f>
        <v>0</v>
      </c>
      <c r="H2" s="393">
        <f>'9.1_nvo'!H2</f>
        <v>0</v>
      </c>
      <c r="I2" s="393">
        <f>'9.1_nvo'!I2</f>
        <v>0</v>
      </c>
      <c r="J2" s="393">
        <f>'9.1_nvo'!J2</f>
        <v>0</v>
      </c>
      <c r="K2" s="393">
        <f>'9.1_nvo'!K2</f>
        <v>0</v>
      </c>
      <c r="L2" s="393">
        <f>'9.1_nvo'!L2</f>
        <v>0</v>
      </c>
      <c r="N2" s="267" t="str">
        <f>IF((COUNTIFS(D2:L2,"&gt;3")+COUNTIFS(D2:L2,"&lt;-3"))&gt;0,"Klaida! Patikrinkite duomenis, turtas iš viso nėra lygus nuosavybei ir įsipareigojimams iš viso","ok")</f>
        <v>ok</v>
      </c>
    </row>
    <row r="3" spans="1:14" x14ac:dyDescent="0.3">
      <c r="B3" s="134" t="s">
        <v>321</v>
      </c>
      <c r="C3" s="262" t="s">
        <v>649</v>
      </c>
      <c r="D3" s="134"/>
      <c r="E3" s="134"/>
      <c r="F3" s="134"/>
      <c r="G3" s="134"/>
      <c r="H3" s="134"/>
      <c r="I3" s="134"/>
      <c r="J3" s="134"/>
      <c r="K3" s="134"/>
      <c r="L3" s="134"/>
      <c r="M3" s="44"/>
    </row>
    <row r="4" spans="1:14" x14ac:dyDescent="0.3">
      <c r="A4" s="215"/>
      <c r="B4" s="215"/>
      <c r="C4" s="216"/>
      <c r="D4" s="399">
        <f>+'9.3_nvo'!D64-D49</f>
        <v>0</v>
      </c>
      <c r="E4" s="399">
        <f>+'9.3_nvo'!E64-E49</f>
        <v>0</v>
      </c>
      <c r="F4" s="399">
        <f>+'9.3_nvo'!F64-F49</f>
        <v>0</v>
      </c>
      <c r="G4" s="399">
        <f>+'9.3_nvo'!G64-G49</f>
        <v>0</v>
      </c>
      <c r="H4" s="399">
        <f>+'9.3_nvo'!H64-H49</f>
        <v>0</v>
      </c>
      <c r="I4" s="399">
        <f>+'9.3_nvo'!I64-I49</f>
        <v>0</v>
      </c>
      <c r="J4" s="399">
        <f>+'9.3_nvo'!J64-J49</f>
        <v>0</v>
      </c>
      <c r="K4" s="399">
        <f>+'9.3_nvo'!K64-K49</f>
        <v>0</v>
      </c>
      <c r="L4" s="399">
        <f>+'9.3_nvo'!L64-L49</f>
        <v>0</v>
      </c>
    </row>
    <row r="5" spans="1:14" ht="22.8" x14ac:dyDescent="0.3">
      <c r="B5" s="500" t="s">
        <v>21</v>
      </c>
      <c r="C5" s="500" t="s">
        <v>43</v>
      </c>
      <c r="D5" s="126" t="str">
        <f>IF(AND('1'!$C$22="Verslo pradžia",YEAR('1'!$E$22)=YEAR('1'!$C$11)),"Pradžios metai","Ataskaitiniai metai")</f>
        <v>Ataskaitiniai metai</v>
      </c>
      <c r="E5" s="470" t="s">
        <v>11</v>
      </c>
      <c r="F5" s="471"/>
      <c r="G5" s="471"/>
      <c r="H5" s="471"/>
      <c r="I5" s="471"/>
      <c r="J5" s="471"/>
      <c r="K5" s="471"/>
      <c r="L5" s="471"/>
    </row>
    <row r="6" spans="1:14" ht="14.4" thickBot="1" x14ac:dyDescent="0.35">
      <c r="B6" s="501"/>
      <c r="C6" s="501"/>
      <c r="D6" s="364">
        <f>IF(D5="Pradžios metai",YEAR('1'!$E$22),IF((YEAR('1'!$C$11)-1)+COUNT($C6:C6)&gt;YEAR('1'!$C$18)+Parametrai!$C$15,"-",(YEAR('1'!$C$11)-1)+COUNT($C6:C6)))</f>
        <v>1899</v>
      </c>
      <c r="E6" s="364">
        <f>IF(E5="Pradžios metai",YEAR('1'!$E$22),IF((YEAR('1'!$C$11)-1)+COUNT($C6:D6)&gt;YEAR('1'!$C$18)+Parametrai!$C$15,"-",(YEAR('1'!$C$11)-1)+COUNT($C6:D6)))</f>
        <v>1900</v>
      </c>
      <c r="F6" s="364">
        <f>IF(F5="Pradžios metai",YEAR('1'!$E$22),IF((YEAR('1'!$C$11)-1)+COUNT($C6:E6)&gt;YEAR('1'!$C$18)+Parametrai!$C$15,"-",(YEAR('1'!$C$11)-1)+COUNT($C6:E6)))</f>
        <v>1901</v>
      </c>
      <c r="G6" s="364">
        <f>IF(G5="Pradžios metai",YEAR('1'!$E$22),IF((YEAR('1'!$C$11)-1)+COUNT($C6:F6)&gt;YEAR('1'!$C$18)+Parametrai!$C$15,"-",(YEAR('1'!$C$11)-1)+COUNT($C6:F6)))</f>
        <v>1902</v>
      </c>
      <c r="H6" s="364">
        <f>IF(H5="Pradžios metai",YEAR('1'!$E$22),IF((YEAR('1'!$C$11)-1)+COUNT($C6:G6)&gt;YEAR('1'!$C$18)+Parametrai!$C$15,"-",(YEAR('1'!$C$11)-1)+COUNT($C6:G6)))</f>
        <v>1903</v>
      </c>
      <c r="I6" s="364" t="str">
        <f>IF(I5="Pradžios metai",YEAR('1'!$E$22),IF((YEAR('1'!$C$11)-1)+COUNT($C6:H6)&gt;YEAR('1'!$C$18)+Parametrai!$C$15,"-",(YEAR('1'!$C$11)-1)+COUNT($C6:H6)))</f>
        <v>-</v>
      </c>
      <c r="J6" s="364" t="str">
        <f>IF(J5="Pradžios metai",YEAR('1'!$E$22),IF((YEAR('1'!$C$11)-1)+COUNT($C6:I6)&gt;YEAR('1'!$C$18)+Parametrai!$C$15,"-",(YEAR('1'!$C$11)-1)+COUNT($C6:I6)))</f>
        <v>-</v>
      </c>
      <c r="K6" s="364" t="str">
        <f>IF(K5="Pradžios metai",YEAR('1'!$E$22),IF((YEAR('1'!$C$11)-1)+COUNT($C6:J6)&gt;YEAR('1'!$C$18)+Parametrai!$C$15,"-",(YEAR('1'!$C$11)-1)+COUNT($C6:J6)))</f>
        <v>-</v>
      </c>
      <c r="L6" s="364" t="str">
        <f>IF(L5="Pradžios metai",YEAR('1'!$E$22),IF((YEAR('1'!$C$11)-1)+COUNT($C6:K6)&gt;YEAR('1'!$C$18)+Parametrai!$C$15,"-",(YEAR('1'!$C$11)-1)+COUNT($C6:K6)))</f>
        <v>-</v>
      </c>
    </row>
    <row r="7" spans="1:14" ht="14.4" thickTop="1" x14ac:dyDescent="0.3">
      <c r="A7" s="11"/>
      <c r="B7" s="199" t="s">
        <v>398</v>
      </c>
      <c r="C7" s="200" t="s">
        <v>127</v>
      </c>
      <c r="D7" s="201"/>
      <c r="E7" s="201"/>
      <c r="F7" s="201"/>
      <c r="G7" s="201"/>
      <c r="H7" s="201"/>
      <c r="I7" s="201"/>
      <c r="J7" s="201"/>
      <c r="K7" s="201"/>
      <c r="L7" s="201"/>
    </row>
    <row r="8" spans="1:14" x14ac:dyDescent="0.3">
      <c r="A8" s="11"/>
      <c r="B8" s="196" t="s">
        <v>407</v>
      </c>
      <c r="C8" s="18" t="s">
        <v>128</v>
      </c>
      <c r="D8" s="391">
        <f>'9.2_nvo'!D27</f>
        <v>0</v>
      </c>
      <c r="E8" s="391">
        <f>'9.2_nvo'!E27</f>
        <v>0</v>
      </c>
      <c r="F8" s="391">
        <f>'9.2_nvo'!F27</f>
        <v>0</v>
      </c>
      <c r="G8" s="391">
        <f>'9.2_nvo'!G27</f>
        <v>0</v>
      </c>
      <c r="H8" s="391">
        <f>'9.2_nvo'!H27</f>
        <v>0</v>
      </c>
      <c r="I8" s="391">
        <f>'9.2_nvo'!I27</f>
        <v>0</v>
      </c>
      <c r="J8" s="391">
        <f>'9.2_nvo'!J27</f>
        <v>0</v>
      </c>
      <c r="K8" s="391">
        <f>'9.2_nvo'!K27</f>
        <v>0</v>
      </c>
      <c r="L8" s="391">
        <f>'9.2_nvo'!L27</f>
        <v>0</v>
      </c>
    </row>
    <row r="9" spans="1:14" x14ac:dyDescent="0.3">
      <c r="A9" s="11"/>
      <c r="B9" s="196" t="s">
        <v>408</v>
      </c>
      <c r="C9" s="18" t="s">
        <v>129</v>
      </c>
      <c r="D9" s="391">
        <f>SUM('7'!C12,'7'!C13,'7'!C23)</f>
        <v>0</v>
      </c>
      <c r="E9" s="391">
        <f>SUM('7'!D12,'7'!D13,'7'!D23)</f>
        <v>0</v>
      </c>
      <c r="F9" s="391">
        <f>SUM('7'!E12,'7'!E13,'7'!E23)</f>
        <v>0</v>
      </c>
      <c r="G9" s="391">
        <f>SUM('7'!F12,'7'!F13,'7'!F23)</f>
        <v>0</v>
      </c>
      <c r="H9" s="391">
        <f>SUM('7'!G12,'7'!G13,'7'!G23)</f>
        <v>0</v>
      </c>
      <c r="I9" s="391">
        <f>SUM('7'!H12,'7'!H13,'7'!H23)</f>
        <v>0</v>
      </c>
      <c r="J9" s="391">
        <f>SUM('7'!I12,'7'!I13,'7'!I23)</f>
        <v>0</v>
      </c>
      <c r="K9" s="391">
        <f>SUM('7'!J12,'7'!J13,'7'!J23)</f>
        <v>0</v>
      </c>
      <c r="L9" s="391">
        <f>SUM('7'!K12,'7'!K13,'7'!K23)</f>
        <v>0</v>
      </c>
    </row>
    <row r="10" spans="1:14" ht="24" x14ac:dyDescent="0.3">
      <c r="A10" s="11"/>
      <c r="B10" s="196" t="s">
        <v>409</v>
      </c>
      <c r="C10" s="18" t="s">
        <v>130</v>
      </c>
      <c r="D10" s="351"/>
      <c r="E10" s="390">
        <f>-('9.2_nvo'!E15-'9.2_nvo'!E18)</f>
        <v>0</v>
      </c>
      <c r="F10" s="390">
        <f>-('9.2_nvo'!F15-'9.2_nvo'!F18)</f>
        <v>0</v>
      </c>
      <c r="G10" s="390">
        <f>-('9.2_nvo'!G15-'9.2_nvo'!G18)</f>
        <v>0</v>
      </c>
      <c r="H10" s="390">
        <f>-('9.2_nvo'!H15-'9.2_nvo'!H18)</f>
        <v>0</v>
      </c>
      <c r="I10" s="390">
        <f>-('9.2_nvo'!I15-'9.2_nvo'!I18)</f>
        <v>0</v>
      </c>
      <c r="J10" s="390">
        <f>-('9.2_nvo'!J15-'9.2_nvo'!J18)</f>
        <v>0</v>
      </c>
      <c r="K10" s="390">
        <f>-('9.2_nvo'!K15-'9.2_nvo'!K18)</f>
        <v>0</v>
      </c>
      <c r="L10" s="390">
        <f>-('9.2_nvo'!L15-'9.2_nvo'!L18)</f>
        <v>0</v>
      </c>
      <c r="N10" s="309"/>
    </row>
    <row r="11" spans="1:14" ht="24" x14ac:dyDescent="0.3">
      <c r="A11" s="11"/>
      <c r="B11" s="196" t="s">
        <v>410</v>
      </c>
      <c r="C11" s="209" t="s">
        <v>131</v>
      </c>
      <c r="D11" s="416">
        <f>-SUM('9.2_nvo'!D23)</f>
        <v>0</v>
      </c>
      <c r="E11" s="391">
        <f>-SUM('9.2_nvo'!E23)</f>
        <v>0</v>
      </c>
      <c r="F11" s="391">
        <f>-SUM('9.2_nvo'!F23)</f>
        <v>0</v>
      </c>
      <c r="G11" s="391">
        <f>-SUM('9.2_nvo'!G23)</f>
        <v>0</v>
      </c>
      <c r="H11" s="391">
        <f>-SUM('9.2_nvo'!H23)</f>
        <v>0</v>
      </c>
      <c r="I11" s="391">
        <f>-SUM('9.2_nvo'!I23)</f>
        <v>0</v>
      </c>
      <c r="J11" s="391">
        <f>-SUM('9.2_nvo'!J23)</f>
        <v>0</v>
      </c>
      <c r="K11" s="391">
        <f>-SUM('9.2_nvo'!K23)</f>
        <v>0</v>
      </c>
      <c r="L11" s="391">
        <f>-SUM('9.2_nvo'!L23)</f>
        <v>0</v>
      </c>
      <c r="M11" s="47"/>
      <c r="N11" s="309" t="s">
        <v>831</v>
      </c>
    </row>
    <row r="12" spans="1:14" ht="24" x14ac:dyDescent="0.3">
      <c r="A12" s="11"/>
      <c r="B12" s="196" t="s">
        <v>411</v>
      </c>
      <c r="C12" s="209" t="s">
        <v>443</v>
      </c>
      <c r="D12" s="351"/>
      <c r="E12" s="391">
        <f>-('9.1_nvo'!E19-'9.1_nvo'!D19)</f>
        <v>0</v>
      </c>
      <c r="F12" s="391">
        <f>-('9.1_nvo'!F19-'9.1_nvo'!E19)</f>
        <v>0</v>
      </c>
      <c r="G12" s="391">
        <f>-('9.1_nvo'!G19-'9.1_nvo'!F19)</f>
        <v>0</v>
      </c>
      <c r="H12" s="391">
        <f>-('9.1_nvo'!H19-'9.1_nvo'!G19)</f>
        <v>0</v>
      </c>
      <c r="I12" s="391">
        <f>-('9.1_nvo'!I19-'9.1_nvo'!H19)</f>
        <v>0</v>
      </c>
      <c r="J12" s="391">
        <f>-('9.1_nvo'!J19-'9.1_nvo'!I19)</f>
        <v>0</v>
      </c>
      <c r="K12" s="391">
        <f>-('9.1_nvo'!K19-'9.1_nvo'!J19)</f>
        <v>0</v>
      </c>
      <c r="L12" s="391">
        <f>-('9.1_nvo'!L19-'9.1_nvo'!K19)</f>
        <v>0</v>
      </c>
      <c r="M12" s="47"/>
    </row>
    <row r="13" spans="1:14" ht="24" x14ac:dyDescent="0.3">
      <c r="A13" s="11"/>
      <c r="B13" s="196" t="s">
        <v>412</v>
      </c>
      <c r="C13" s="18" t="s">
        <v>132</v>
      </c>
      <c r="D13" s="351"/>
      <c r="E13" s="391">
        <f>-(('9.1_nvo'!E21-'9.1_nvo'!E23) - ('9.1_nvo'!D21-'9.1_nvo'!D23))</f>
        <v>0</v>
      </c>
      <c r="F13" s="391">
        <f>-(('9.1_nvo'!F21-'9.1_nvo'!F23) - ('9.1_nvo'!E21-'9.1_nvo'!E23))</f>
        <v>0</v>
      </c>
      <c r="G13" s="391">
        <f>-(('9.1_nvo'!G21-'9.1_nvo'!G23) - ('9.1_nvo'!F21-'9.1_nvo'!F23))</f>
        <v>0</v>
      </c>
      <c r="H13" s="391">
        <f>-(('9.1_nvo'!H21-'9.1_nvo'!H23) - ('9.1_nvo'!G21-'9.1_nvo'!G23))</f>
        <v>0</v>
      </c>
      <c r="I13" s="391">
        <f>-(('9.1_nvo'!I21-'9.1_nvo'!I23) - ('9.1_nvo'!H21-'9.1_nvo'!H23))</f>
        <v>0</v>
      </c>
      <c r="J13" s="391">
        <f>-(('9.1_nvo'!J21-'9.1_nvo'!J23) - ('9.1_nvo'!I21-'9.1_nvo'!I23))</f>
        <v>0</v>
      </c>
      <c r="K13" s="391">
        <f>-(('9.1_nvo'!K21-'9.1_nvo'!K23) - ('9.1_nvo'!J21-'9.1_nvo'!J23))</f>
        <v>0</v>
      </c>
      <c r="L13" s="391">
        <f>-(('9.1_nvo'!L21-'9.1_nvo'!L23) - ('9.1_nvo'!K21-'9.1_nvo'!K23))</f>
        <v>0</v>
      </c>
    </row>
    <row r="14" spans="1:14" x14ac:dyDescent="0.3">
      <c r="A14" s="11"/>
      <c r="B14" s="196" t="s">
        <v>413</v>
      </c>
      <c r="C14" s="18" t="s">
        <v>133</v>
      </c>
      <c r="D14" s="351"/>
      <c r="E14" s="391">
        <f>-('9.1_nvo'!E23-'9.1_nvo'!D23)</f>
        <v>0</v>
      </c>
      <c r="F14" s="391">
        <f>-('9.1_nvo'!F23-'9.1_nvo'!E23)</f>
        <v>0</v>
      </c>
      <c r="G14" s="391">
        <f>-('9.1_nvo'!G23-'9.1_nvo'!F23)</f>
        <v>0</v>
      </c>
      <c r="H14" s="391">
        <f>-('9.1_nvo'!H23-'9.1_nvo'!G23)</f>
        <v>0</v>
      </c>
      <c r="I14" s="391">
        <f>-('9.1_nvo'!I23-'9.1_nvo'!H23)</f>
        <v>0</v>
      </c>
      <c r="J14" s="391">
        <f>-('9.1_nvo'!J23-'9.1_nvo'!I23)</f>
        <v>0</v>
      </c>
      <c r="K14" s="391">
        <f>-('9.1_nvo'!K23-'9.1_nvo'!J23)</f>
        <v>0</v>
      </c>
      <c r="L14" s="391">
        <f>-('9.1_nvo'!L23-'9.1_nvo'!K23)</f>
        <v>0</v>
      </c>
    </row>
    <row r="15" spans="1:14" x14ac:dyDescent="0.3">
      <c r="A15" s="11"/>
      <c r="B15" s="196" t="s">
        <v>414</v>
      </c>
      <c r="C15" s="18" t="s">
        <v>134</v>
      </c>
      <c r="D15" s="351"/>
      <c r="E15" s="391">
        <f>-('9.1_nvo'!E26-'9.1_nvo'!D26)</f>
        <v>0</v>
      </c>
      <c r="F15" s="391">
        <f>-('9.1_nvo'!F26-'9.1_nvo'!E26)</f>
        <v>0</v>
      </c>
      <c r="G15" s="391">
        <f>-('9.1_nvo'!G26-'9.1_nvo'!F26)</f>
        <v>0</v>
      </c>
      <c r="H15" s="391">
        <f>-('9.1_nvo'!H26-'9.1_nvo'!G26)</f>
        <v>0</v>
      </c>
      <c r="I15" s="391">
        <f>-('9.1_nvo'!I26-'9.1_nvo'!H26)</f>
        <v>0</v>
      </c>
      <c r="J15" s="391">
        <f>-('9.1_nvo'!J26-'9.1_nvo'!I26)</f>
        <v>0</v>
      </c>
      <c r="K15" s="391">
        <f>-('9.1_nvo'!K26-'9.1_nvo'!J26)</f>
        <v>0</v>
      </c>
      <c r="L15" s="391">
        <f>-('9.1_nvo'!L26-'9.1_nvo'!K26)</f>
        <v>0</v>
      </c>
    </row>
    <row r="16" spans="1:14" x14ac:dyDescent="0.3">
      <c r="A16" s="11"/>
      <c r="B16" s="196" t="s">
        <v>415</v>
      </c>
      <c r="C16" s="18" t="s">
        <v>135</v>
      </c>
      <c r="D16" s="351"/>
      <c r="E16" s="391">
        <f>-('9.1_nvo'!E27-'9.1_nvo'!D27)</f>
        <v>0</v>
      </c>
      <c r="F16" s="391">
        <f>-('9.1_nvo'!F27-'9.1_nvo'!E27)</f>
        <v>0</v>
      </c>
      <c r="G16" s="391">
        <f>-('9.1_nvo'!G27-'9.1_nvo'!F27)</f>
        <v>0</v>
      </c>
      <c r="H16" s="391">
        <f>-('9.1_nvo'!H27-'9.1_nvo'!G27)</f>
        <v>0</v>
      </c>
      <c r="I16" s="391">
        <f>-('9.1_nvo'!I27-'9.1_nvo'!H27)</f>
        <v>0</v>
      </c>
      <c r="J16" s="391">
        <f>-('9.1_nvo'!J27-'9.1_nvo'!I27)</f>
        <v>0</v>
      </c>
      <c r="K16" s="391">
        <f>-('9.1_nvo'!K27-'9.1_nvo'!J27)</f>
        <v>0</v>
      </c>
      <c r="L16" s="391">
        <f>-('9.1_nvo'!L27-'9.1_nvo'!K27)</f>
        <v>0</v>
      </c>
    </row>
    <row r="17" spans="1:14" ht="24" x14ac:dyDescent="0.3">
      <c r="A17" s="11"/>
      <c r="B17" s="196" t="s">
        <v>416</v>
      </c>
      <c r="C17" s="18" t="s">
        <v>136</v>
      </c>
      <c r="D17" s="351"/>
      <c r="E17" s="391">
        <f>-('9.1_nvo'!E28-'9.1_nvo'!D28)</f>
        <v>0</v>
      </c>
      <c r="F17" s="391">
        <f>-('9.1_nvo'!F28-'9.1_nvo'!E28)</f>
        <v>0</v>
      </c>
      <c r="G17" s="391">
        <f>-('9.1_nvo'!G28-'9.1_nvo'!F28)</f>
        <v>0</v>
      </c>
      <c r="H17" s="391">
        <f>-('9.1_nvo'!H28-'9.1_nvo'!G28)</f>
        <v>0</v>
      </c>
      <c r="I17" s="391">
        <f>-('9.1_nvo'!I28-'9.1_nvo'!H28)</f>
        <v>0</v>
      </c>
      <c r="J17" s="391">
        <f>-('9.1_nvo'!J28-'9.1_nvo'!I28)</f>
        <v>0</v>
      </c>
      <c r="K17" s="391">
        <f>-('9.1_nvo'!K28-'9.1_nvo'!J28)</f>
        <v>0</v>
      </c>
      <c r="L17" s="391">
        <f>-('9.1_nvo'!L28-'9.1_nvo'!K28)</f>
        <v>0</v>
      </c>
    </row>
    <row r="18" spans="1:14" ht="24" x14ac:dyDescent="0.3">
      <c r="A18" s="11"/>
      <c r="B18" s="196" t="s">
        <v>450</v>
      </c>
      <c r="C18" s="18" t="s">
        <v>137</v>
      </c>
      <c r="D18" s="351"/>
      <c r="E18" s="391">
        <f>-('9.1_nvo'!E30-'9.1_nvo'!D30)</f>
        <v>0</v>
      </c>
      <c r="F18" s="391">
        <f>-('9.1_nvo'!F30-'9.1_nvo'!E30)</f>
        <v>0</v>
      </c>
      <c r="G18" s="391">
        <f>-('9.1_nvo'!G30-'9.1_nvo'!F30)</f>
        <v>0</v>
      </c>
      <c r="H18" s="391">
        <f>-('9.1_nvo'!H30-'9.1_nvo'!G30)</f>
        <v>0</v>
      </c>
      <c r="I18" s="391">
        <f>-('9.1_nvo'!I30-'9.1_nvo'!H30)</f>
        <v>0</v>
      </c>
      <c r="J18" s="391">
        <f>-('9.1_nvo'!J30-'9.1_nvo'!I30)</f>
        <v>0</v>
      </c>
      <c r="K18" s="391">
        <f>-('9.1_nvo'!K30-'9.1_nvo'!J30)</f>
        <v>0</v>
      </c>
      <c r="L18" s="391">
        <f>-('9.1_nvo'!L30-'9.1_nvo'!K30)</f>
        <v>0</v>
      </c>
    </row>
    <row r="19" spans="1:14" ht="24" x14ac:dyDescent="0.3">
      <c r="A19" s="11"/>
      <c r="B19" s="196" t="s">
        <v>417</v>
      </c>
      <c r="C19" s="18" t="s">
        <v>138</v>
      </c>
      <c r="D19" s="351"/>
      <c r="E19" s="391">
        <f>('9.1_nvo'!E57 + '9.1_nvo'!E56)-('9.1_nvo'!D57 + '9.1_nvo'!D56)</f>
        <v>0</v>
      </c>
      <c r="F19" s="391">
        <f>('9.1_nvo'!F57 + '9.1_nvo'!F56)-('9.1_nvo'!E57 + '9.1_nvo'!E56)</f>
        <v>0</v>
      </c>
      <c r="G19" s="391">
        <f>('9.1_nvo'!G57 + '9.1_nvo'!G56)-('9.1_nvo'!F57 + '9.1_nvo'!F56)</f>
        <v>0</v>
      </c>
      <c r="H19" s="391">
        <f>('9.1_nvo'!H57 + '9.1_nvo'!H56)-('9.1_nvo'!G57 + '9.1_nvo'!G56)</f>
        <v>0</v>
      </c>
      <c r="I19" s="391">
        <f>('9.1_nvo'!I57 + '9.1_nvo'!I56)-('9.1_nvo'!H57 + '9.1_nvo'!H56)</f>
        <v>0</v>
      </c>
      <c r="J19" s="391">
        <f>('9.1_nvo'!J57 + '9.1_nvo'!J56)-('9.1_nvo'!I57 + '9.1_nvo'!I56)</f>
        <v>0</v>
      </c>
      <c r="K19" s="391">
        <f>('9.1_nvo'!K57 + '9.1_nvo'!K56)-('9.1_nvo'!J57 + '9.1_nvo'!J56)</f>
        <v>0</v>
      </c>
      <c r="L19" s="391">
        <f>('9.1_nvo'!L57 + '9.1_nvo'!L56)-('9.1_nvo'!K57 + '9.1_nvo'!K56)</f>
        <v>0</v>
      </c>
    </row>
    <row r="20" spans="1:14" ht="24" x14ac:dyDescent="0.3">
      <c r="A20" s="11"/>
      <c r="B20" s="196" t="s">
        <v>418</v>
      </c>
      <c r="C20" s="18" t="s">
        <v>139</v>
      </c>
      <c r="D20" s="351"/>
      <c r="E20" s="391">
        <f>'9.1_nvo'!E58-'9.1_nvo'!D58</f>
        <v>0</v>
      </c>
      <c r="F20" s="391">
        <f>'9.1_nvo'!F58-'9.1_nvo'!E58</f>
        <v>0</v>
      </c>
      <c r="G20" s="391">
        <f>'9.1_nvo'!G58-'9.1_nvo'!F58</f>
        <v>0</v>
      </c>
      <c r="H20" s="391">
        <f>'9.1_nvo'!H58-'9.1_nvo'!G58</f>
        <v>0</v>
      </c>
      <c r="I20" s="391">
        <f>'9.1_nvo'!I58-'9.1_nvo'!H58</f>
        <v>0</v>
      </c>
      <c r="J20" s="391">
        <f>'9.1_nvo'!J58-'9.1_nvo'!I58</f>
        <v>0</v>
      </c>
      <c r="K20" s="391">
        <f>'9.1_nvo'!K58-'9.1_nvo'!J58</f>
        <v>0</v>
      </c>
      <c r="L20" s="391">
        <f>'9.1_nvo'!L58-'9.1_nvo'!K58</f>
        <v>0</v>
      </c>
    </row>
    <row r="21" spans="1:14" ht="24" x14ac:dyDescent="0.3">
      <c r="A21" s="11"/>
      <c r="B21" s="196" t="s">
        <v>419</v>
      </c>
      <c r="C21" s="209" t="s">
        <v>140</v>
      </c>
      <c r="D21" s="351"/>
      <c r="E21" s="391">
        <f>('9.1_nvo'!E52+'9.1_nvo'!E59) - ('9.1_nvo'!D52+'9.1_nvo'!D59)</f>
        <v>0</v>
      </c>
      <c r="F21" s="391">
        <f>('9.1_nvo'!F52+'9.1_nvo'!F59) - ('9.1_nvo'!E52+'9.1_nvo'!E59)</f>
        <v>0</v>
      </c>
      <c r="G21" s="391">
        <f>('9.1_nvo'!G52+'9.1_nvo'!G59) - ('9.1_nvo'!F52+'9.1_nvo'!F59)</f>
        <v>0</v>
      </c>
      <c r="H21" s="391">
        <f>('9.1_nvo'!H52+'9.1_nvo'!H59) - ('9.1_nvo'!G52+'9.1_nvo'!G59)</f>
        <v>0</v>
      </c>
      <c r="I21" s="391">
        <f>('9.1_nvo'!I52+'9.1_nvo'!I59) - ('9.1_nvo'!H52+'9.1_nvo'!H59)</f>
        <v>0</v>
      </c>
      <c r="J21" s="391">
        <f>('9.1_nvo'!J52+'9.1_nvo'!J59) - ('9.1_nvo'!I52+'9.1_nvo'!I59)</f>
        <v>0</v>
      </c>
      <c r="K21" s="391">
        <f>('9.1_nvo'!K52+'9.1_nvo'!K59) - ('9.1_nvo'!J52+'9.1_nvo'!J59)</f>
        <v>0</v>
      </c>
      <c r="L21" s="391">
        <f>('9.1_nvo'!L52+'9.1_nvo'!L59) - ('9.1_nvo'!K52+'9.1_nvo'!K59)</f>
        <v>0</v>
      </c>
    </row>
    <row r="22" spans="1:14" ht="24" x14ac:dyDescent="0.3">
      <c r="A22" s="11"/>
      <c r="B22" s="196" t="s">
        <v>420</v>
      </c>
      <c r="C22" s="18" t="s">
        <v>141</v>
      </c>
      <c r="D22" s="351"/>
      <c r="E22" s="391">
        <f>'9.1_nvo'!E60-'9.1_nvo'!D60</f>
        <v>0</v>
      </c>
      <c r="F22" s="391">
        <f>'9.1_nvo'!F60-'9.1_nvo'!E60</f>
        <v>0</v>
      </c>
      <c r="G22" s="391">
        <f>'9.1_nvo'!G60-'9.1_nvo'!F60</f>
        <v>0</v>
      </c>
      <c r="H22" s="391">
        <f>'9.1_nvo'!H60-'9.1_nvo'!G60</f>
        <v>0</v>
      </c>
      <c r="I22" s="391">
        <f>'9.1_nvo'!I60-'9.1_nvo'!H60</f>
        <v>0</v>
      </c>
      <c r="J22" s="391">
        <f>'9.1_nvo'!J60-'9.1_nvo'!I60</f>
        <v>0</v>
      </c>
      <c r="K22" s="391">
        <f>'9.1_nvo'!K60-'9.1_nvo'!J60</f>
        <v>0</v>
      </c>
      <c r="L22" s="391">
        <f>'9.1_nvo'!L60-'9.1_nvo'!K60</f>
        <v>0</v>
      </c>
    </row>
    <row r="23" spans="1:14" x14ac:dyDescent="0.3">
      <c r="A23" s="11"/>
      <c r="B23" s="198" t="s">
        <v>421</v>
      </c>
      <c r="C23" s="128" t="s">
        <v>142</v>
      </c>
      <c r="D23" s="203">
        <f t="shared" ref="D23:L23" si="0">SUM(D8:D22)</f>
        <v>0</v>
      </c>
      <c r="E23" s="203">
        <f t="shared" si="0"/>
        <v>0</v>
      </c>
      <c r="F23" s="203">
        <f t="shared" si="0"/>
        <v>0</v>
      </c>
      <c r="G23" s="203">
        <f t="shared" si="0"/>
        <v>0</v>
      </c>
      <c r="H23" s="203">
        <f t="shared" si="0"/>
        <v>0</v>
      </c>
      <c r="I23" s="203">
        <f t="shared" si="0"/>
        <v>0</v>
      </c>
      <c r="J23" s="203">
        <f t="shared" si="0"/>
        <v>0</v>
      </c>
      <c r="K23" s="203">
        <f t="shared" si="0"/>
        <v>0</v>
      </c>
      <c r="L23" s="203">
        <f t="shared" si="0"/>
        <v>0</v>
      </c>
    </row>
    <row r="24" spans="1:14" x14ac:dyDescent="0.3">
      <c r="A24" s="11"/>
      <c r="B24" s="198" t="s">
        <v>399</v>
      </c>
      <c r="C24" s="128" t="s">
        <v>143</v>
      </c>
      <c r="D24" s="177"/>
      <c r="E24" s="177"/>
      <c r="F24" s="177"/>
      <c r="G24" s="177"/>
      <c r="H24" s="177"/>
      <c r="I24" s="177"/>
      <c r="J24" s="177"/>
      <c r="K24" s="177"/>
      <c r="L24" s="177"/>
    </row>
    <row r="25" spans="1:14" ht="24" x14ac:dyDescent="0.3">
      <c r="A25" s="11"/>
      <c r="B25" s="196" t="s">
        <v>422</v>
      </c>
      <c r="C25" s="18" t="s">
        <v>698</v>
      </c>
      <c r="D25" s="391">
        <f>-'6'!D62</f>
        <v>0</v>
      </c>
      <c r="E25" s="391">
        <f>-'6'!E62</f>
        <v>0</v>
      </c>
      <c r="F25" s="391">
        <f>-'6'!F62</f>
        <v>0</v>
      </c>
      <c r="G25" s="391">
        <f>-'6'!G62</f>
        <v>0</v>
      </c>
      <c r="H25" s="391">
        <f>-'6'!H62</f>
        <v>0</v>
      </c>
      <c r="I25" s="391">
        <f>-'6'!I62</f>
        <v>0</v>
      </c>
      <c r="J25" s="391">
        <f>-'6'!J62</f>
        <v>0</v>
      </c>
      <c r="K25" s="391">
        <f>-'6'!K62</f>
        <v>0</v>
      </c>
      <c r="L25" s="391">
        <f>-'6'!L62</f>
        <v>0</v>
      </c>
    </row>
    <row r="26" spans="1:14" ht="24" x14ac:dyDescent="0.3">
      <c r="A26" s="11"/>
      <c r="B26" s="196" t="s">
        <v>423</v>
      </c>
      <c r="C26" s="18" t="s">
        <v>699</v>
      </c>
      <c r="D26" s="351"/>
      <c r="E26" s="197"/>
      <c r="F26" s="197"/>
      <c r="G26" s="197"/>
      <c r="H26" s="197"/>
      <c r="I26" s="197"/>
      <c r="J26" s="197"/>
      <c r="K26" s="197"/>
      <c r="L26" s="197"/>
      <c r="N26" s="309" t="s">
        <v>800</v>
      </c>
    </row>
    <row r="27" spans="1:14" x14ac:dyDescent="0.3">
      <c r="A27" s="11"/>
      <c r="B27" s="196" t="s">
        <v>424</v>
      </c>
      <c r="C27" s="18" t="s">
        <v>700</v>
      </c>
      <c r="D27" s="339"/>
      <c r="E27" s="339"/>
      <c r="F27" s="339"/>
      <c r="G27" s="339"/>
      <c r="H27" s="339"/>
      <c r="I27" s="339"/>
      <c r="J27" s="339"/>
      <c r="K27" s="339"/>
      <c r="L27" s="339"/>
      <c r="N27" s="309" t="s">
        <v>832</v>
      </c>
    </row>
    <row r="28" spans="1:14" x14ac:dyDescent="0.3">
      <c r="A28" s="11"/>
      <c r="B28" s="196" t="s">
        <v>425</v>
      </c>
      <c r="C28" s="18" t="s">
        <v>702</v>
      </c>
      <c r="D28" s="351"/>
      <c r="E28" s="351"/>
      <c r="F28" s="351"/>
      <c r="G28" s="351"/>
      <c r="H28" s="351"/>
      <c r="I28" s="351"/>
      <c r="J28" s="351"/>
      <c r="K28" s="351"/>
      <c r="L28" s="351"/>
      <c r="N28" s="309" t="s">
        <v>833</v>
      </c>
    </row>
    <row r="29" spans="1:14" x14ac:dyDescent="0.3">
      <c r="A29" s="11"/>
      <c r="B29" s="196" t="s">
        <v>426</v>
      </c>
      <c r="C29" s="18" t="s">
        <v>144</v>
      </c>
      <c r="D29" s="351"/>
      <c r="E29" s="197"/>
      <c r="F29" s="197"/>
      <c r="G29" s="197"/>
      <c r="H29" s="197"/>
      <c r="I29" s="197"/>
      <c r="J29" s="197"/>
      <c r="K29" s="197"/>
      <c r="L29" s="197"/>
      <c r="N29" s="309" t="s">
        <v>442</v>
      </c>
    </row>
    <row r="30" spans="1:14" ht="24" x14ac:dyDescent="0.3">
      <c r="A30" s="11"/>
      <c r="B30" s="196" t="s">
        <v>427</v>
      </c>
      <c r="C30" s="18" t="s">
        <v>145</v>
      </c>
      <c r="D30" s="416">
        <f>IF('9.2_nvo'!D15-'9.2_nvo'!D18&gt;0,'9.2_nvo'!D15-'9.2_nvo'!D18,0)</f>
        <v>0</v>
      </c>
      <c r="E30" s="391">
        <f>IF('9.2_nvo'!E15-'9.2_nvo'!E18&gt;0,'9.2_nvo'!E15-'9.2_nvo'!E18,0)</f>
        <v>0</v>
      </c>
      <c r="F30" s="391">
        <f>IF('9.2_nvo'!F15-'9.2_nvo'!F18&gt;0,'9.2_nvo'!F15-'9.2_nvo'!F18,0)</f>
        <v>0</v>
      </c>
      <c r="G30" s="391">
        <f>IF('9.2_nvo'!G15-'9.2_nvo'!G18&gt;0,'9.2_nvo'!G15-'9.2_nvo'!G18,0)</f>
        <v>0</v>
      </c>
      <c r="H30" s="391">
        <f>IF('9.2_nvo'!H15-'9.2_nvo'!H18&gt;0,'9.2_nvo'!H15-'9.2_nvo'!H18,0)</f>
        <v>0</v>
      </c>
      <c r="I30" s="391">
        <f>IF('9.2_nvo'!I15-'9.2_nvo'!I18&gt;0,'9.2_nvo'!I15-'9.2_nvo'!I18,0)</f>
        <v>0</v>
      </c>
      <c r="J30" s="391">
        <f>IF('9.2_nvo'!J15-'9.2_nvo'!J18&gt;0,'9.2_nvo'!J15-'9.2_nvo'!J18,0)</f>
        <v>0</v>
      </c>
      <c r="K30" s="391">
        <f>IF('9.2_nvo'!K15-'9.2_nvo'!K18&gt;0,'9.2_nvo'!K15-'9.2_nvo'!K18,0)</f>
        <v>0</v>
      </c>
      <c r="L30" s="391">
        <f>IF('9.2_nvo'!L15-'9.2_nvo'!L18&gt;0,'9.2_nvo'!L15-'9.2_nvo'!L18,0)</f>
        <v>0</v>
      </c>
      <c r="N30" s="309" t="s">
        <v>440</v>
      </c>
    </row>
    <row r="31" spans="1:14" ht="24" x14ac:dyDescent="0.3">
      <c r="A31" s="11"/>
      <c r="B31" s="196" t="s">
        <v>428</v>
      </c>
      <c r="C31" s="18" t="s">
        <v>146</v>
      </c>
      <c r="D31" s="416">
        <f>IF('9.2_nvo'!D15-'9.2_nvo'!D18&lt;0,'9.2_nvo'!D15-'9.2_nvo'!D18,0)</f>
        <v>0</v>
      </c>
      <c r="E31" s="391">
        <f>IF('9.2_nvo'!E15-'9.2_nvo'!E18&lt;0,'9.2_nvo'!E15-'9.2_nvo'!E18,0)</f>
        <v>0</v>
      </c>
      <c r="F31" s="391">
        <f>IF('9.2_nvo'!F15-'9.2_nvo'!F18&lt;0,'9.2_nvo'!F15-'9.2_nvo'!F18,0)</f>
        <v>0</v>
      </c>
      <c r="G31" s="391">
        <f>IF('9.2_nvo'!G15-'9.2_nvo'!G18&lt;0,'9.2_nvo'!G15-'9.2_nvo'!G18,0)</f>
        <v>0</v>
      </c>
      <c r="H31" s="391">
        <f>IF('9.2_nvo'!H15-'9.2_nvo'!H18&lt;0,'9.2_nvo'!H15-'9.2_nvo'!H18,0)</f>
        <v>0</v>
      </c>
      <c r="I31" s="391">
        <f>IF('9.2_nvo'!I15-'9.2_nvo'!I18&lt;0,'9.2_nvo'!I15-'9.2_nvo'!I18,0)</f>
        <v>0</v>
      </c>
      <c r="J31" s="391">
        <f>IF('9.2_nvo'!J15-'9.2_nvo'!J18&lt;0,'9.2_nvo'!J15-'9.2_nvo'!J18,0)</f>
        <v>0</v>
      </c>
      <c r="K31" s="391">
        <f>IF('9.2_nvo'!K15-'9.2_nvo'!K18&lt;0,'9.2_nvo'!K15-'9.2_nvo'!K18,0)</f>
        <v>0</v>
      </c>
      <c r="L31" s="391">
        <f>IF('9.2_nvo'!L15-'9.2_nvo'!L18&lt;0,'9.2_nvo'!L15-'9.2_nvo'!L18,0)</f>
        <v>0</v>
      </c>
      <c r="N31" s="309" t="s">
        <v>441</v>
      </c>
    </row>
    <row r="32" spans="1:14" x14ac:dyDescent="0.3">
      <c r="A32" s="11"/>
      <c r="B32" s="198" t="s">
        <v>429</v>
      </c>
      <c r="C32" s="128" t="s">
        <v>147</v>
      </c>
      <c r="D32" s="204">
        <f>SUM(D25:D31)</f>
        <v>0</v>
      </c>
      <c r="E32" s="204">
        <f t="shared" ref="E32:L32" si="1">SUM(E25:E31)</f>
        <v>0</v>
      </c>
      <c r="F32" s="204">
        <f t="shared" si="1"/>
        <v>0</v>
      </c>
      <c r="G32" s="204">
        <f t="shared" si="1"/>
        <v>0</v>
      </c>
      <c r="H32" s="204">
        <f t="shared" si="1"/>
        <v>0</v>
      </c>
      <c r="I32" s="204">
        <f t="shared" si="1"/>
        <v>0</v>
      </c>
      <c r="J32" s="204">
        <f t="shared" si="1"/>
        <v>0</v>
      </c>
      <c r="K32" s="204">
        <f t="shared" si="1"/>
        <v>0</v>
      </c>
      <c r="L32" s="204">
        <f t="shared" si="1"/>
        <v>0</v>
      </c>
    </row>
    <row r="33" spans="1:14" x14ac:dyDescent="0.3">
      <c r="A33" s="11"/>
      <c r="B33" s="198" t="s">
        <v>400</v>
      </c>
      <c r="C33" s="128" t="s">
        <v>148</v>
      </c>
      <c r="D33" s="177"/>
      <c r="E33" s="177"/>
      <c r="F33" s="177"/>
      <c r="G33" s="177"/>
      <c r="H33" s="177"/>
      <c r="I33" s="177"/>
      <c r="J33" s="177"/>
      <c r="K33" s="177"/>
      <c r="L33" s="177"/>
    </row>
    <row r="34" spans="1:14" x14ac:dyDescent="0.3">
      <c r="A34" s="11"/>
      <c r="B34" s="196" t="s">
        <v>406</v>
      </c>
      <c r="C34" s="209" t="s">
        <v>710</v>
      </c>
      <c r="D34" s="391">
        <f>'8'!D19+'8'!D20</f>
        <v>0</v>
      </c>
      <c r="E34" s="391">
        <f>'8'!E19+'8'!E20</f>
        <v>0</v>
      </c>
      <c r="F34" s="391">
        <f>'8'!F19+'8'!F20</f>
        <v>0</v>
      </c>
      <c r="G34" s="391">
        <f>'8'!G19+'8'!G20</f>
        <v>0</v>
      </c>
      <c r="H34" s="391">
        <f>'8'!H19+'8'!H20</f>
        <v>0</v>
      </c>
      <c r="I34" s="391">
        <f>'8'!I19+'8'!I20</f>
        <v>0</v>
      </c>
      <c r="J34" s="391">
        <f>'8'!J19+'8'!J20</f>
        <v>0</v>
      </c>
      <c r="K34" s="391">
        <f>'8'!K19+'8'!K20</f>
        <v>0</v>
      </c>
      <c r="L34" s="391">
        <f>'8'!L19+'8'!L20</f>
        <v>0</v>
      </c>
    </row>
    <row r="35" spans="1:14" x14ac:dyDescent="0.3">
      <c r="A35" s="11"/>
      <c r="B35" s="196" t="s">
        <v>405</v>
      </c>
      <c r="C35" s="209" t="s">
        <v>711</v>
      </c>
      <c r="D35" s="391">
        <f>-('8'!D21+'8'!D22)</f>
        <v>0</v>
      </c>
      <c r="E35" s="391">
        <f>-('8'!E21+'8'!E22)</f>
        <v>0</v>
      </c>
      <c r="F35" s="391">
        <f>-('8'!F21+'8'!F22)</f>
        <v>0</v>
      </c>
      <c r="G35" s="391">
        <f>-('8'!G21+'8'!G22)</f>
        <v>0</v>
      </c>
      <c r="H35" s="391">
        <f>-('8'!H21+'8'!H22)</f>
        <v>0</v>
      </c>
      <c r="I35" s="391">
        <f>-('8'!I21+'8'!I22)</f>
        <v>0</v>
      </c>
      <c r="J35" s="391">
        <f>-('8'!J21+'8'!J22)</f>
        <v>0</v>
      </c>
      <c r="K35" s="391">
        <f>-('8'!K21+'8'!K22)</f>
        <v>0</v>
      </c>
      <c r="L35" s="391">
        <f>-('8'!L21+'8'!L22)</f>
        <v>0</v>
      </c>
    </row>
    <row r="36" spans="1:14" x14ac:dyDescent="0.3">
      <c r="A36" s="11"/>
      <c r="B36" s="196" t="s">
        <v>723</v>
      </c>
      <c r="C36" s="209" t="s">
        <v>722</v>
      </c>
      <c r="D36" s="391">
        <f>'8'!D31</f>
        <v>0</v>
      </c>
      <c r="E36" s="391">
        <f>'8'!E31</f>
        <v>0</v>
      </c>
      <c r="F36" s="391">
        <f>'8'!F31</f>
        <v>0</v>
      </c>
      <c r="G36" s="391">
        <f>'8'!G31</f>
        <v>0</v>
      </c>
      <c r="H36" s="391">
        <f>'8'!H31</f>
        <v>0</v>
      </c>
      <c r="I36" s="391">
        <f>'8'!I31</f>
        <v>0</v>
      </c>
      <c r="J36" s="391">
        <f>'8'!J31</f>
        <v>0</v>
      </c>
      <c r="K36" s="391">
        <f>'8'!K31</f>
        <v>0</v>
      </c>
      <c r="L36" s="391">
        <f>'8'!L31</f>
        <v>0</v>
      </c>
    </row>
    <row r="37" spans="1:14" ht="24" x14ac:dyDescent="0.3">
      <c r="A37" s="11"/>
      <c r="B37" s="196" t="s">
        <v>724</v>
      </c>
      <c r="C37" s="209" t="s">
        <v>712</v>
      </c>
      <c r="D37" s="391">
        <f>-'8'!D32</f>
        <v>0</v>
      </c>
      <c r="E37" s="391">
        <f>-'8'!E32</f>
        <v>0</v>
      </c>
      <c r="F37" s="391">
        <f>-'8'!F32</f>
        <v>0</v>
      </c>
      <c r="G37" s="391">
        <f>-'8'!G32</f>
        <v>0</v>
      </c>
      <c r="H37" s="391">
        <f>-'8'!H32</f>
        <v>0</v>
      </c>
      <c r="I37" s="391">
        <f>-'8'!I32</f>
        <v>0</v>
      </c>
      <c r="J37" s="391">
        <f>-'8'!J32</f>
        <v>0</v>
      </c>
      <c r="K37" s="391">
        <f>-'8'!K32</f>
        <v>0</v>
      </c>
      <c r="L37" s="391">
        <f>-'8'!L32</f>
        <v>0</v>
      </c>
    </row>
    <row r="38" spans="1:14" x14ac:dyDescent="0.3">
      <c r="A38" s="11"/>
      <c r="B38" s="196" t="s">
        <v>725</v>
      </c>
      <c r="C38" s="18" t="s">
        <v>149</v>
      </c>
      <c r="D38" s="391">
        <f>-('8'!D25+'8'!D35)</f>
        <v>0</v>
      </c>
      <c r="E38" s="391">
        <f>-('8'!E25+'8'!E35)</f>
        <v>0</v>
      </c>
      <c r="F38" s="391">
        <f>-('8'!F25+'8'!F35)</f>
        <v>0</v>
      </c>
      <c r="G38" s="391">
        <f>-('8'!G25+'8'!G35)</f>
        <v>0</v>
      </c>
      <c r="H38" s="391">
        <f>-('8'!H25+'8'!H35)</f>
        <v>0</v>
      </c>
      <c r="I38" s="391">
        <f>-('8'!I25+'8'!I35)</f>
        <v>0</v>
      </c>
      <c r="J38" s="391">
        <f>-('8'!J25+'8'!J35)</f>
        <v>0</v>
      </c>
      <c r="K38" s="391">
        <f>-('8'!K25+'8'!K35)</f>
        <v>0</v>
      </c>
      <c r="L38" s="391">
        <f>-('8'!L25+'8'!L35)</f>
        <v>0</v>
      </c>
    </row>
    <row r="39" spans="1:14" ht="36" x14ac:dyDescent="0.3">
      <c r="A39" s="11"/>
      <c r="B39" s="196" t="s">
        <v>726</v>
      </c>
      <c r="C39" s="18" t="s">
        <v>777</v>
      </c>
      <c r="D39" s="351"/>
      <c r="E39" s="351"/>
      <c r="F39" s="351"/>
      <c r="G39" s="351"/>
      <c r="H39" s="351"/>
      <c r="I39" s="351"/>
      <c r="J39" s="351"/>
      <c r="K39" s="351"/>
      <c r="L39" s="351"/>
    </row>
    <row r="40" spans="1:14" ht="24" x14ac:dyDescent="0.3">
      <c r="A40" s="11"/>
      <c r="B40" s="196" t="s">
        <v>727</v>
      </c>
      <c r="C40" s="18" t="s">
        <v>776</v>
      </c>
      <c r="D40" s="351"/>
      <c r="E40" s="391">
        <f>SUMIFS('5'!$F:$F,'5'!$B:$B,"Paramos išmokėjimas*",'5'!$C:$C,"&gt;="&amp;DATE('9.3_nvo'!E6,1,1),'5'!$C:$C,"&lt;="&amp;DATE('9.3_nvo'!E6,12,31))+SUMIFS('5'!$C$14,'9.3_nvo'!E$6,YEAR('5'!$C$15))</f>
        <v>0</v>
      </c>
      <c r="F40" s="391">
        <f>SUMIFS('5'!$F:$F,'5'!$B:$B,"Paramos išmokėjimas*",'5'!$C:$C,"&gt;="&amp;DATE('9.3_nvo'!F6,1,1),'5'!$C:$C,"&lt;="&amp;DATE('9.3_nvo'!F6,12,31))+SUMIFS('5'!$C$14,'9.3_nvo'!F$6,YEAR('5'!$C$15))</f>
        <v>0</v>
      </c>
      <c r="G40" s="391">
        <f>SUMIFS('5'!$F:$F,'5'!$B:$B,"Paramos išmokėjimas*",'5'!$C:$C,"&gt;="&amp;DATE('9.3_nvo'!G6,1,1),'5'!$C:$C,"&lt;="&amp;DATE('9.3_nvo'!G6,12,31))+SUMIFS('5'!$C$14,'9.3_nvo'!G$6,YEAR('5'!$C$15))</f>
        <v>0</v>
      </c>
      <c r="H40" s="391">
        <f>SUMIFS('5'!$F:$F,'5'!$B:$B,"Paramos išmokėjimas*",'5'!$C:$C,"&gt;="&amp;DATE('9.3_nvo'!H6,1,1),'5'!$C:$C,"&lt;="&amp;DATE('9.3_nvo'!H6,12,31))+SUMIFS('5'!$C$14,'9.3_nvo'!H$6,YEAR('5'!$C$15))</f>
        <v>0</v>
      </c>
      <c r="I40" s="391">
        <f>SUMIFS('5'!$F:$F,'5'!$B:$B,"Paramos išmokėjimas*",'5'!$C:$C,"&gt;="&amp;DATE('9.3_nvo'!I6,1,1),'5'!$C:$C,"&lt;="&amp;DATE('9.3_nvo'!I6,12,31))+SUMIFS('5'!$C$14,'9.3_nvo'!I$6,YEAR('5'!$C$15))</f>
        <v>0</v>
      </c>
      <c r="J40" s="391">
        <f>SUMIFS('5'!$F:$F,'5'!$B:$B,"Paramos išmokėjimas*",'5'!$C:$C,"&gt;="&amp;DATE('9.3_nvo'!J6,1,1),'5'!$C:$C,"&lt;="&amp;DATE('9.3_nvo'!J6,12,31))+SUMIFS('5'!$C$14,'9.3_nvo'!J$6,YEAR('5'!$C$15))</f>
        <v>0</v>
      </c>
      <c r="K40" s="391">
        <f>SUMIFS('5'!$F:$F,'5'!$B:$B,"Paramos išmokėjimas*",'5'!$C:$C,"&gt;="&amp;DATE('9.3_nvo'!K6,1,1),'5'!$C:$C,"&lt;="&amp;DATE('9.3_nvo'!K6,12,31))+SUMIFS('5'!$C$14,'9.3_nvo'!K$6,YEAR('5'!$C$15))</f>
        <v>0</v>
      </c>
      <c r="L40" s="391">
        <f>SUMIFS('5'!$F:$F,'5'!$B:$B,"Paramos išmokėjimas*",'5'!$C:$C,"&gt;="&amp;DATE('9.3_nvo'!L6,1,1),'5'!$C:$C,"&lt;="&amp;DATE('9.3_nvo'!L6,12,31))+SUMIFS('5'!$C$14,'9.3_nvo'!L$6,YEAR('5'!$C$15))</f>
        <v>0</v>
      </c>
      <c r="M40" s="47"/>
      <c r="N40" s="309" t="s">
        <v>801</v>
      </c>
    </row>
    <row r="41" spans="1:14" ht="24" x14ac:dyDescent="0.3">
      <c r="A41" s="11"/>
      <c r="B41" s="196" t="s">
        <v>728</v>
      </c>
      <c r="C41" s="18" t="s">
        <v>714</v>
      </c>
      <c r="D41" s="339"/>
      <c r="E41" s="339"/>
      <c r="F41" s="339"/>
      <c r="G41" s="339"/>
      <c r="H41" s="339"/>
      <c r="I41" s="339"/>
      <c r="J41" s="339"/>
      <c r="K41" s="339"/>
      <c r="L41" s="339"/>
      <c r="N41" s="309" t="s">
        <v>442</v>
      </c>
    </row>
    <row r="42" spans="1:14" x14ac:dyDescent="0.3">
      <c r="A42" s="11"/>
      <c r="B42" s="196" t="s">
        <v>729</v>
      </c>
      <c r="C42" s="18" t="s">
        <v>736</v>
      </c>
      <c r="D42" s="351"/>
      <c r="E42" s="351"/>
      <c r="F42" s="351"/>
      <c r="G42" s="351"/>
      <c r="H42" s="351"/>
      <c r="I42" s="351"/>
      <c r="J42" s="351"/>
      <c r="K42" s="351"/>
      <c r="L42" s="351"/>
      <c r="N42" s="309"/>
    </row>
    <row r="43" spans="1:14" x14ac:dyDescent="0.3">
      <c r="A43" s="11"/>
      <c r="B43" s="196" t="s">
        <v>730</v>
      </c>
      <c r="C43" s="18" t="s">
        <v>150</v>
      </c>
      <c r="D43" s="351"/>
      <c r="E43" s="351"/>
      <c r="F43" s="351"/>
      <c r="G43" s="351"/>
      <c r="H43" s="351"/>
      <c r="I43" s="351"/>
      <c r="J43" s="351"/>
      <c r="K43" s="351"/>
      <c r="L43" s="351"/>
      <c r="N43" s="309" t="s">
        <v>442</v>
      </c>
    </row>
    <row r="44" spans="1:14" x14ac:dyDescent="0.3">
      <c r="A44" s="11"/>
      <c r="B44" s="196" t="s">
        <v>731</v>
      </c>
      <c r="C44" s="18" t="s">
        <v>151</v>
      </c>
      <c r="D44" s="339"/>
      <c r="E44" s="339"/>
      <c r="F44" s="339"/>
      <c r="G44" s="339"/>
      <c r="H44" s="339"/>
      <c r="I44" s="339"/>
      <c r="J44" s="339"/>
      <c r="K44" s="339"/>
      <c r="L44" s="339"/>
      <c r="N44" s="309" t="s">
        <v>442</v>
      </c>
    </row>
    <row r="45" spans="1:14" x14ac:dyDescent="0.3">
      <c r="A45" s="11"/>
      <c r="B45" s="202" t="s">
        <v>805</v>
      </c>
      <c r="C45" s="128" t="s">
        <v>152</v>
      </c>
      <c r="D45" s="203">
        <f>SUM(D34:D44)</f>
        <v>0</v>
      </c>
      <c r="E45" s="203">
        <f t="shared" ref="E45:L45" si="2">SUM(E34:E44)</f>
        <v>0</v>
      </c>
      <c r="F45" s="203">
        <f t="shared" si="2"/>
        <v>0</v>
      </c>
      <c r="G45" s="203">
        <f t="shared" si="2"/>
        <v>0</v>
      </c>
      <c r="H45" s="203">
        <f t="shared" si="2"/>
        <v>0</v>
      </c>
      <c r="I45" s="203">
        <f t="shared" si="2"/>
        <v>0</v>
      </c>
      <c r="J45" s="203">
        <f t="shared" si="2"/>
        <v>0</v>
      </c>
      <c r="K45" s="203">
        <f t="shared" si="2"/>
        <v>0</v>
      </c>
      <c r="L45" s="203">
        <f t="shared" si="2"/>
        <v>0</v>
      </c>
    </row>
    <row r="46" spans="1:14" ht="24" x14ac:dyDescent="0.3">
      <c r="A46" s="11"/>
      <c r="B46" s="196" t="s">
        <v>401</v>
      </c>
      <c r="C46" s="18" t="s">
        <v>153</v>
      </c>
      <c r="D46" s="351"/>
      <c r="E46" s="87"/>
      <c r="F46" s="87"/>
      <c r="G46" s="87"/>
      <c r="H46" s="87"/>
      <c r="I46" s="87"/>
      <c r="J46" s="87"/>
      <c r="K46" s="87"/>
      <c r="L46" s="87"/>
      <c r="N46" s="309" t="s">
        <v>442</v>
      </c>
    </row>
    <row r="47" spans="1:14" ht="24" x14ac:dyDescent="0.3">
      <c r="A47" s="11"/>
      <c r="B47" s="198" t="s">
        <v>402</v>
      </c>
      <c r="C47" s="169" t="s">
        <v>154</v>
      </c>
      <c r="D47" s="176">
        <f t="shared" ref="D47" si="3">SUM(D23,D32,D45,D46)</f>
        <v>0</v>
      </c>
      <c r="E47" s="176">
        <f>SUM(E23,E32,E45,E46)</f>
        <v>0</v>
      </c>
      <c r="F47" s="176">
        <f t="shared" ref="F47:L47" si="4">SUM(F23,F32,F45,F46)</f>
        <v>0</v>
      </c>
      <c r="G47" s="176">
        <f t="shared" si="4"/>
        <v>0</v>
      </c>
      <c r="H47" s="176">
        <f t="shared" si="4"/>
        <v>0</v>
      </c>
      <c r="I47" s="176">
        <f t="shared" si="4"/>
        <v>0</v>
      </c>
      <c r="J47" s="176">
        <f t="shared" si="4"/>
        <v>0</v>
      </c>
      <c r="K47" s="176">
        <f t="shared" si="4"/>
        <v>0</v>
      </c>
      <c r="L47" s="176">
        <f t="shared" si="4"/>
        <v>0</v>
      </c>
    </row>
    <row r="48" spans="1:14" x14ac:dyDescent="0.3">
      <c r="A48" s="11"/>
      <c r="B48" s="198" t="s">
        <v>403</v>
      </c>
      <c r="C48" s="169" t="s">
        <v>155</v>
      </c>
      <c r="D48" s="351"/>
      <c r="E48" s="176">
        <f>+D49</f>
        <v>0</v>
      </c>
      <c r="F48" s="176">
        <f t="shared" ref="F48:L48" si="5">+E49</f>
        <v>0</v>
      </c>
      <c r="G48" s="176">
        <f t="shared" si="5"/>
        <v>0</v>
      </c>
      <c r="H48" s="176">
        <f t="shared" si="5"/>
        <v>0</v>
      </c>
      <c r="I48" s="176">
        <f t="shared" si="5"/>
        <v>0</v>
      </c>
      <c r="J48" s="176">
        <f t="shared" si="5"/>
        <v>0</v>
      </c>
      <c r="K48" s="176">
        <f t="shared" si="5"/>
        <v>0</v>
      </c>
      <c r="L48" s="176">
        <f t="shared" si="5"/>
        <v>0</v>
      </c>
    </row>
    <row r="49" spans="1:14" ht="22.8" x14ac:dyDescent="0.3">
      <c r="A49" s="11"/>
      <c r="B49" s="202" t="s">
        <v>404</v>
      </c>
      <c r="C49" s="128" t="s">
        <v>156</v>
      </c>
      <c r="D49" s="203">
        <f>D47+D48</f>
        <v>0</v>
      </c>
      <c r="E49" s="203">
        <f t="shared" ref="E49:L49" si="6">+E48+E47</f>
        <v>0</v>
      </c>
      <c r="F49" s="203">
        <f t="shared" si="6"/>
        <v>0</v>
      </c>
      <c r="G49" s="203">
        <f t="shared" si="6"/>
        <v>0</v>
      </c>
      <c r="H49" s="203">
        <f t="shared" si="6"/>
        <v>0</v>
      </c>
      <c r="I49" s="203">
        <f t="shared" si="6"/>
        <v>0</v>
      </c>
      <c r="J49" s="203">
        <f t="shared" si="6"/>
        <v>0</v>
      </c>
      <c r="K49" s="203">
        <f t="shared" si="6"/>
        <v>0</v>
      </c>
      <c r="L49" s="203">
        <f t="shared" si="6"/>
        <v>0</v>
      </c>
      <c r="M49" s="47"/>
      <c r="N49" s="267" t="str">
        <f>IF(COUNTIFS(D49:L49,"&lt;0")&gt;0,"Klaida! Pinigų likutis negali būti neigiamas!","ok")</f>
        <v>ok</v>
      </c>
    </row>
    <row r="50" spans="1:14" x14ac:dyDescent="0.3">
      <c r="N50" s="267" t="str">
        <f>IF(ABS(D49-'9.1_nvo'!D29)&gt;1,"Klaida! Ataskaitiniais metais pinigų likutis balanse ir pinigų srautų ataskaitoje nesutampa","ok")</f>
        <v>ok</v>
      </c>
    </row>
  </sheetData>
  <sheetProtection algorithmName="SHA-512" hashValue="JXot7Kusre01IMHwtRH1eqVaeLWt3CIaBqeLd1j8cPPyDavUNgRx6vgMb4vJrJNaN+42G1FOwcZWbVb2gsIthQ==" saltValue="CnFSeIAzNQRN0OOiBHpAJA==" spinCount="100000" sheet="1" formatRows="0" insertRows="0"/>
  <mergeCells count="3">
    <mergeCell ref="B5:B6"/>
    <mergeCell ref="C5:C6"/>
    <mergeCell ref="E5:L5"/>
  </mergeCells>
  <conditionalFormatting sqref="D11">
    <cfRule type="expression" dxfId="17" priority="1">
      <formula>ABS(D$13)&gt;D$12</formula>
    </cfRule>
  </conditionalFormatting>
  <conditionalFormatting sqref="D30:D31">
    <cfRule type="expression" dxfId="16" priority="5">
      <formula>ABS(#REF!)&gt;#REF!</formula>
    </cfRule>
  </conditionalFormatting>
  <conditionalFormatting sqref="D2:L2">
    <cfRule type="cellIs" dxfId="15" priority="10" operator="between">
      <formula>0.0001</formula>
      <formula>3</formula>
    </cfRule>
    <cfRule type="cellIs" dxfId="14" priority="11" operator="between">
      <formula>-3</formula>
      <formula>-0.0001</formula>
    </cfRule>
    <cfRule type="cellIs" dxfId="13" priority="12" operator="lessThan">
      <formula>-3</formula>
    </cfRule>
    <cfRule type="cellIs" dxfId="12" priority="13" operator="greaterThan">
      <formula>3</formula>
    </cfRule>
  </conditionalFormatting>
  <conditionalFormatting sqref="D6:L6">
    <cfRule type="expression" dxfId="11" priority="3">
      <formula>D6="-"</formula>
    </cfRule>
  </conditionalFormatting>
  <conditionalFormatting sqref="D27:L27">
    <cfRule type="expression" dxfId="9" priority="14">
      <formula>ABS(#REF!)&gt;#REF!</formula>
    </cfRule>
  </conditionalFormatting>
  <conditionalFormatting sqref="D41:L41">
    <cfRule type="expression" dxfId="8" priority="17">
      <formula>ABS(#REF!)&gt;#REF!</formula>
    </cfRule>
  </conditionalFormatting>
  <conditionalFormatting sqref="D44:L44">
    <cfRule type="expression" dxfId="7" priority="16">
      <formula>ABS(#REF!)&gt;#REF!</formula>
    </cfRule>
  </conditionalFormatting>
  <conditionalFormatting sqref="D49:L49">
    <cfRule type="expression" dxfId="6" priority="9">
      <formula>D$49&lt;0</formula>
    </cfRule>
  </conditionalFormatting>
  <conditionalFormatting sqref="N2">
    <cfRule type="expression" dxfId="5" priority="2">
      <formula>ISNUMBER(SEARCH("Klaida", N2))</formula>
    </cfRule>
  </conditionalFormatting>
  <conditionalFormatting sqref="N49:N50">
    <cfRule type="expression" dxfId="4" priority="7">
      <formula>ISNUMBER(SEARCH("Klaida", N49))</formula>
    </cfRule>
  </conditionalFormatting>
  <dataValidations count="1">
    <dataValidation type="whole" operator="lessThan" allowBlank="1" showInputMessage="1" showErrorMessage="1" error="įveskskite neigiamą skaičių" prompt="Įveskite neigiamą skaičių" sqref="D41:L41 D27:L27 D44:L44" xr:uid="{D6689A1F-7E20-4D87-9541-562D920A47AE}">
      <formula1>0</formula1>
    </dataValidation>
  </dataValidations>
  <pageMargins left="0.70866141732283472" right="0.70866141732283472" top="0.74803149606299213" bottom="0.74803149606299213" header="0.31496062992125984" footer="0.31496062992125984"/>
  <pageSetup paperSize="9" pageOrder="overThenDown" orientation="landscape" blackAndWhite="1" horizontalDpi="4294967293" verticalDpi="4294967293" r:id="rId1"/>
  <ignoredErrors>
    <ignoredError sqref="D30:D31" unlockedFormula="1"/>
  </ignoredErrors>
  <extLst>
    <ext xmlns:x14="http://schemas.microsoft.com/office/spreadsheetml/2009/9/main" uri="{78C0D931-6437-407d-A8EE-F0AAD7539E65}">
      <x14:conditionalFormattings>
        <x14:conditionalFormatting xmlns:xm="http://schemas.microsoft.com/office/excel/2006/main">
          <x14:cfRule type="expression" priority="4" id="{CA57B5FA-1FC0-448C-875B-3D00A64C9CEC}">
            <xm:f>AND(D6&gt;=YEAR(Parametrai!$C$13),D6&lt;=MIN(YEAR('1'!$C$18),YEAR(EOMONTH(Parametrai!$C$13,Parametrai!$C$14)),IF(Parametrai!$C$16&lt;&gt;0,YEAR(Parametrai!$C$16),YEAR(EOMONTH(Parametrai!$C$13,Parametrai!$C$14)))))</xm:f>
            <x14:dxf>
              <fill>
                <patternFill>
                  <bgColor rgb="FFFFF0D2"/>
                </patternFill>
              </fill>
            </x14:dxf>
          </x14:cfRule>
          <xm:sqref>D6:L6</xm:sqref>
        </x14:conditionalFormatting>
      </x14:conditionalFormattings>
    </ext>
  </extLst>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617DDE2-383B-4690-9A24-07BB7118C31E}">
  <sheetPr codeName="Lapas19">
    <tabColor theme="9" tint="-0.499984740745262"/>
  </sheetPr>
  <dimension ref="A1:P20"/>
  <sheetViews>
    <sheetView zoomScale="83" zoomScaleNormal="83" workbookViewId="0">
      <pane xSplit="2" ySplit="4" topLeftCell="C5" activePane="bottomRight" state="frozen"/>
      <selection activeCell="J29" sqref="J29"/>
      <selection pane="topRight" activeCell="J29" sqref="J29"/>
      <selection pane="bottomLeft" activeCell="J29" sqref="J29"/>
      <selection pane="bottomRight" activeCell="O13" sqref="O13"/>
    </sheetView>
  </sheetViews>
  <sheetFormatPr defaultColWidth="8.6640625" defaultRowHeight="13.8" x14ac:dyDescent="0.3"/>
  <cols>
    <col min="1" max="1" width="4.88671875" style="3" customWidth="1"/>
    <col min="2" max="2" width="20.33203125" style="1" customWidth="1"/>
    <col min="3" max="3" width="10.44140625" style="1" customWidth="1"/>
    <col min="4" max="4" width="11" style="3" customWidth="1"/>
    <col min="5" max="12" width="8.33203125" style="3" customWidth="1"/>
    <col min="13" max="13" width="10" style="3" customWidth="1"/>
    <col min="14" max="14" width="10.6640625" style="3" customWidth="1"/>
    <col min="15" max="15" width="7.44140625" style="4" customWidth="1"/>
    <col min="16" max="16" width="32.6640625" style="4" customWidth="1"/>
    <col min="17" max="17" width="16.33203125" style="3" customWidth="1"/>
    <col min="18" max="16384" width="8.6640625" style="3"/>
  </cols>
  <sheetData>
    <row r="1" spans="1:16" ht="13.95" customHeight="1" x14ac:dyDescent="0.3">
      <c r="A1" s="134" t="s">
        <v>125</v>
      </c>
      <c r="B1" s="553" t="s">
        <v>5</v>
      </c>
      <c r="C1" s="553"/>
      <c r="D1" s="553"/>
      <c r="E1" s="553"/>
      <c r="F1" s="553"/>
      <c r="G1" s="553"/>
      <c r="H1" s="553"/>
      <c r="I1" s="553"/>
      <c r="J1" s="553"/>
      <c r="K1" s="553"/>
      <c r="L1" s="553"/>
      <c r="M1" s="163"/>
      <c r="N1" s="163"/>
      <c r="O1" s="313" t="s">
        <v>224</v>
      </c>
      <c r="P1" s="3"/>
    </row>
    <row r="2" spans="1:16" x14ac:dyDescent="0.3">
      <c r="O2" s="314" t="s">
        <v>910</v>
      </c>
      <c r="P2" s="3"/>
    </row>
    <row r="3" spans="1:16" ht="39.6" x14ac:dyDescent="0.3">
      <c r="A3" s="509" t="s">
        <v>21</v>
      </c>
      <c r="B3" s="554" t="s">
        <v>76</v>
      </c>
      <c r="C3" s="405" t="s">
        <v>157</v>
      </c>
      <c r="D3" s="126" t="str">
        <f>IF(AND('1'!$C$22="Verslo pradžia",YEAR('1'!$E$22)=YEAR('1'!$C$11)),"Pradžios metai","Ataskaitiniai metai")</f>
        <v>Ataskaitiniai metai</v>
      </c>
      <c r="E3" s="556" t="s">
        <v>880</v>
      </c>
      <c r="F3" s="557"/>
      <c r="G3" s="557"/>
      <c r="H3" s="557"/>
      <c r="I3" s="557"/>
      <c r="J3" s="557"/>
      <c r="K3" s="557"/>
      <c r="L3" s="558"/>
      <c r="M3" s="4"/>
      <c r="N3" s="315"/>
      <c r="O3" s="3"/>
      <c r="P3" s="3"/>
    </row>
    <row r="4" spans="1:16" ht="15" customHeight="1" thickBot="1" x14ac:dyDescent="0.35">
      <c r="A4" s="510"/>
      <c r="B4" s="555"/>
      <c r="C4" s="404" t="e">
        <f>_xlfn.CONCAT("",YEAR(Parametrai!$C$13)-2)</f>
        <v>#VALUE!</v>
      </c>
      <c r="D4" s="364">
        <f>IF(D3="Pradžios metai",YEAR('1'!$E$22),IF((YEAR('1'!$C$11)-1)+COUNT($C4:C4)&gt;YEAR('1'!$C$18)+Parametrai!$C$15,"-",(YEAR('1'!$C$11)-1)+COUNT($C4:C4)))</f>
        <v>1899</v>
      </c>
      <c r="E4" s="364">
        <f>IF(E3="Pradžios metai",YEAR('1'!$E$22),IF((YEAR('1'!$C$11)-1)+COUNT($C4:D4)&gt;YEAR('1'!$C$18)+Parametrai!$C$15,"-",(YEAR('1'!$C$11)-1)+COUNT($C4:D4)))</f>
        <v>1900</v>
      </c>
      <c r="F4" s="364">
        <f>IF(F3="Pradžios metai",YEAR('1'!$E$22),IF((YEAR('1'!$C$11)-1)+COUNT($C4:E4)&gt;YEAR('1'!$C$18)+Parametrai!$C$15,"-",(YEAR('1'!$C$11)-1)+COUNT($C4:E4)))</f>
        <v>1901</v>
      </c>
      <c r="G4" s="364">
        <f>IF(G3="Pradžios metai",YEAR('1'!$E$22),IF((YEAR('1'!$C$11)-1)+COUNT($C4:F4)&gt;YEAR('1'!$C$18)+Parametrai!$C$15,"-",(YEAR('1'!$C$11)-1)+COUNT($C4:F4)))</f>
        <v>1902</v>
      </c>
      <c r="H4" s="364">
        <f>IF(H3="Pradžios metai",YEAR('1'!$E$22),IF((YEAR('1'!$C$11)-1)+COUNT($C4:G4)&gt;YEAR('1'!$C$18)+Parametrai!$C$15,"-",(YEAR('1'!$C$11)-1)+COUNT($C4:G4)))</f>
        <v>1903</v>
      </c>
      <c r="I4" s="364" t="str">
        <f>IF(I3="Pradžios metai",YEAR('1'!$E$22),IF((YEAR('1'!$C$11)-1)+COUNT($C4:H4)&gt;YEAR('1'!$C$18)+Parametrai!$C$15,"-",(YEAR('1'!$C$11)-1)+COUNT($C4:H4)))</f>
        <v>-</v>
      </c>
      <c r="J4" s="364" t="str">
        <f>IF(J3="Pradžios metai",YEAR('1'!$E$22),IF((YEAR('1'!$C$11)-1)+COUNT($C4:I4)&gt;YEAR('1'!$C$18)+Parametrai!$C$15,"-",(YEAR('1'!$C$11)-1)+COUNT($C4:I4)))</f>
        <v>-</v>
      </c>
      <c r="K4" s="364" t="str">
        <f>IF(K3="Pradžios metai",YEAR('1'!$E$22),IF((YEAR('1'!$C$11)-1)+COUNT($C4:J4)&gt;YEAR('1'!$C$18)+Parametrai!$C$15,"-",(YEAR('1'!$C$11)-1)+COUNT($C4:J4)))</f>
        <v>-</v>
      </c>
      <c r="L4" s="364" t="str">
        <f>IF(L3="Pradžios metai",YEAR('1'!$E$22),IF((YEAR('1'!$C$11)-1)+COUNT($C4:K4)&gt;YEAR('1'!$C$18)+Parametrai!$C$15,"-",(YEAR('1'!$C$11)-1)+COUNT($C4:K4)))</f>
        <v>-</v>
      </c>
      <c r="M4" s="4"/>
      <c r="N4" s="315"/>
      <c r="O4" s="180" t="s">
        <v>179</v>
      </c>
      <c r="P4" s="3"/>
    </row>
    <row r="5" spans="1:16" ht="14.4" thickTop="1" x14ac:dyDescent="0.3">
      <c r="A5" s="252" t="s">
        <v>347</v>
      </c>
      <c r="B5" s="183" t="s">
        <v>159</v>
      </c>
      <c r="C5" s="359"/>
      <c r="D5" s="400" t="str">
        <f>IFERROR('9.1_nvo'!D49/'9.1_nvo'!D31,"-")</f>
        <v>-</v>
      </c>
      <c r="E5" s="400" t="str">
        <f>IFERROR('9.1_nvo'!E49/'9.1_nvo'!E31,"-")</f>
        <v>-</v>
      </c>
      <c r="F5" s="400" t="str">
        <f>IFERROR('9.1_nvo'!F49/'9.1_nvo'!F31,"-")</f>
        <v>-</v>
      </c>
      <c r="G5" s="400" t="str">
        <f>IFERROR('9.1_nvo'!G49/'9.1_nvo'!G31,"-")</f>
        <v>-</v>
      </c>
      <c r="H5" s="400" t="str">
        <f>IFERROR('9.1_nvo'!H49/'9.1_nvo'!H31,"-")</f>
        <v>-</v>
      </c>
      <c r="I5" s="400" t="str">
        <f>IFERROR('9.1_nvo'!I49/'9.1_nvo'!I31,"-")</f>
        <v>-</v>
      </c>
      <c r="J5" s="400" t="str">
        <f>IFERROR('9.1_nvo'!J49/'9.1_nvo'!J31,"-")</f>
        <v>-</v>
      </c>
      <c r="K5" s="400" t="str">
        <f>IFERROR('9.1_nvo'!K49/'9.1_nvo'!K31,"-")</f>
        <v>-</v>
      </c>
      <c r="L5" s="400" t="str">
        <f>IFERROR('9.1_nvo'!L49/'9.1_nvo'!L31,"-")</f>
        <v>-</v>
      </c>
      <c r="M5" s="47"/>
      <c r="N5" s="315"/>
      <c r="O5" s="181">
        <f>Parametrai!C22</f>
        <v>0.65</v>
      </c>
      <c r="P5" s="3" t="s">
        <v>886</v>
      </c>
    </row>
    <row r="6" spans="1:16" x14ac:dyDescent="0.3">
      <c r="A6" s="252" t="s">
        <v>346</v>
      </c>
      <c r="B6" s="183" t="s">
        <v>160</v>
      </c>
      <c r="C6" s="360"/>
      <c r="D6" s="401" t="str">
        <f>IFERROR('9.2_nvo'!D27/'9.2_nvo'!D7,"-")</f>
        <v>-</v>
      </c>
      <c r="E6" s="401" t="str">
        <f>IFERROR('9.2_nvo'!E27/'9.2_nvo'!E7,"-")</f>
        <v>-</v>
      </c>
      <c r="F6" s="401" t="str">
        <f>IFERROR('9.2_nvo'!F27/'9.2_nvo'!F7,"-")</f>
        <v>-</v>
      </c>
      <c r="G6" s="401" t="str">
        <f>IFERROR('9.2_nvo'!G27/'9.2_nvo'!G7,"-")</f>
        <v>-</v>
      </c>
      <c r="H6" s="401" t="str">
        <f>IFERROR('9.2_nvo'!H27/'9.2_nvo'!H7,"-")</f>
        <v>-</v>
      </c>
      <c r="I6" s="401" t="str">
        <f>IFERROR('9.2_nvo'!I27/'9.2_nvo'!I7,"-")</f>
        <v>-</v>
      </c>
      <c r="J6" s="401" t="str">
        <f>IFERROR('9.2_nvo'!J27/'9.2_nvo'!J7,"-")</f>
        <v>-</v>
      </c>
      <c r="K6" s="401" t="str">
        <f>IFERROR('9.2_nvo'!K27/'9.2_nvo'!K7,"-")</f>
        <v>-</v>
      </c>
      <c r="L6" s="401" t="str">
        <f>IFERROR('9.2_nvo'!L27/'9.2_nvo'!L7,"-")</f>
        <v>-</v>
      </c>
      <c r="M6" s="47"/>
      <c r="N6" s="315"/>
      <c r="O6" s="182">
        <f>Parametrai!C23</f>
        <v>0.01</v>
      </c>
      <c r="P6" s="3" t="s">
        <v>885</v>
      </c>
    </row>
    <row r="7" spans="1:16" x14ac:dyDescent="0.3">
      <c r="P7" s="315"/>
    </row>
    <row r="8" spans="1:16" x14ac:dyDescent="0.3">
      <c r="P8" s="315"/>
    </row>
    <row r="9" spans="1:16" x14ac:dyDescent="0.3">
      <c r="P9" s="315"/>
    </row>
    <row r="10" spans="1:16" ht="24" customHeight="1" x14ac:dyDescent="0.3">
      <c r="B10" s="552" t="s">
        <v>553</v>
      </c>
      <c r="C10" s="552"/>
      <c r="D10" s="552"/>
      <c r="E10" s="552"/>
      <c r="F10" s="552"/>
      <c r="G10" s="552"/>
      <c r="H10" s="552"/>
      <c r="I10" s="552"/>
      <c r="J10" s="552"/>
      <c r="K10" s="552"/>
      <c r="L10" s="552"/>
      <c r="M10" s="2"/>
      <c r="N10" s="2"/>
      <c r="P10" s="315"/>
    </row>
    <row r="11" spans="1:16" ht="185.25" customHeight="1" x14ac:dyDescent="0.3">
      <c r="B11" s="551" t="s">
        <v>549</v>
      </c>
      <c r="C11" s="551"/>
      <c r="D11" s="551"/>
      <c r="E11" s="551"/>
      <c r="F11" s="551"/>
      <c r="G11" s="551"/>
      <c r="H11" s="551"/>
      <c r="I11" s="551"/>
      <c r="J11" s="551"/>
      <c r="K11" s="551"/>
      <c r="L11" s="551"/>
      <c r="M11" s="1"/>
      <c r="N11" s="1"/>
      <c r="P11" s="315"/>
    </row>
    <row r="12" spans="1:16" ht="67.5" customHeight="1" x14ac:dyDescent="0.3">
      <c r="B12" s="551" t="s">
        <v>550</v>
      </c>
      <c r="C12" s="551"/>
      <c r="D12" s="551"/>
      <c r="E12" s="551"/>
      <c r="F12" s="551"/>
      <c r="G12" s="551"/>
      <c r="H12" s="551"/>
      <c r="I12" s="551"/>
      <c r="J12" s="551"/>
      <c r="K12" s="551"/>
      <c r="L12" s="551"/>
      <c r="M12" s="1"/>
      <c r="N12" s="1"/>
      <c r="P12" s="315"/>
    </row>
    <row r="13" spans="1:16" ht="95.25" customHeight="1" x14ac:dyDescent="0.3">
      <c r="B13" s="551" t="s">
        <v>551</v>
      </c>
      <c r="C13" s="551"/>
      <c r="D13" s="551"/>
      <c r="E13" s="551"/>
      <c r="F13" s="551"/>
      <c r="G13" s="551"/>
      <c r="H13" s="551"/>
      <c r="I13" s="551"/>
      <c r="J13" s="551"/>
      <c r="K13" s="551"/>
      <c r="L13" s="551"/>
      <c r="M13" s="1"/>
      <c r="N13" s="1"/>
      <c r="P13" s="315"/>
    </row>
    <row r="14" spans="1:16" ht="108" customHeight="1" x14ac:dyDescent="0.3">
      <c r="B14" s="551" t="s">
        <v>552</v>
      </c>
      <c r="C14" s="551"/>
      <c r="D14" s="551"/>
      <c r="E14" s="551"/>
      <c r="F14" s="551"/>
      <c r="G14" s="551"/>
      <c r="H14" s="551"/>
      <c r="I14" s="551"/>
      <c r="J14" s="551"/>
      <c r="K14" s="551"/>
      <c r="L14" s="551"/>
      <c r="M14" s="1"/>
      <c r="N14" s="1"/>
      <c r="P14" s="315"/>
    </row>
    <row r="15" spans="1:16" x14ac:dyDescent="0.3">
      <c r="B15" s="4"/>
    </row>
    <row r="16" spans="1:16" x14ac:dyDescent="0.3">
      <c r="B16" s="4"/>
    </row>
    <row r="18" spans="2:2" x14ac:dyDescent="0.3">
      <c r="B18" s="4"/>
    </row>
    <row r="19" spans="2:2" x14ac:dyDescent="0.3">
      <c r="B19" s="4"/>
    </row>
    <row r="20" spans="2:2" x14ac:dyDescent="0.3">
      <c r="B20" s="4"/>
    </row>
  </sheetData>
  <sheetProtection algorithmName="SHA-512" hashValue="hdT6N8fEPsO2pR6oKbb4GOQmHbWBoWm5ieUwBq8po0LwCg53vyvq7lh7lxYOKcTixEydHAzxztiyWNkAlxETYQ==" saltValue="VUP5NuA5/sz8NFHRMYtNVg==" spinCount="100000" sheet="1" objects="1" scenarios="1" formatRows="0" insertRows="0"/>
  <mergeCells count="9">
    <mergeCell ref="B14:L14"/>
    <mergeCell ref="B13:L13"/>
    <mergeCell ref="B10:L10"/>
    <mergeCell ref="B1:L1"/>
    <mergeCell ref="A3:A4"/>
    <mergeCell ref="B3:B4"/>
    <mergeCell ref="E3:L3"/>
    <mergeCell ref="B11:L11"/>
    <mergeCell ref="B12:L12"/>
  </mergeCells>
  <conditionalFormatting sqref="D4:L4">
    <cfRule type="expression" dxfId="1" priority="1">
      <formula>D4="-"</formula>
    </cfRule>
  </conditionalFormatting>
  <pageMargins left="0.70866141732283472" right="0.70866141732283472" top="0.74803149606299213" bottom="0.74803149606299213" header="0.31496062992125984" footer="0.31496062992125984"/>
  <pageSetup paperSize="9" pageOrder="overThenDown" orientation="landscape" blackAndWhite="1" horizontalDpi="1200" verticalDpi="1200" r:id="rId1"/>
  <drawing r:id="rId2"/>
  <legacyDrawing r:id="rId3"/>
  <mc:AlternateContent xmlns:mc="http://schemas.openxmlformats.org/markup-compatibility/2006">
    <mc:Choice Requires="x14">
      <controls>
        <mc:AlternateContent xmlns:mc="http://schemas.openxmlformats.org/markup-compatibility/2006">
          <mc:Choice Requires="x14">
            <control shapeId="1026" r:id="rId4" name="Button 2">
              <controlPr defaultSize="0" print="0" autoFill="0" autoPict="0" macro="[0]!EksportuotiIPDF">
                <anchor moveWithCells="1" sizeWithCells="1">
                  <from>
                    <xdr:col>4</xdr:col>
                    <xdr:colOff>38100</xdr:colOff>
                    <xdr:row>6</xdr:row>
                    <xdr:rowOff>137160</xdr:rowOff>
                  </from>
                  <to>
                    <xdr:col>8</xdr:col>
                    <xdr:colOff>68580</xdr:colOff>
                    <xdr:row>8</xdr:row>
                    <xdr:rowOff>76200</xdr:rowOff>
                  </to>
                </anchor>
              </controlPr>
            </control>
          </mc:Choice>
        </mc:AlternateContent>
      </controls>
    </mc:Choice>
  </mc:AlternateContent>
  <extLst>
    <ext xmlns:x14="http://schemas.microsoft.com/office/spreadsheetml/2009/9/main" uri="{78C0D931-6437-407d-A8EE-F0AAD7539E65}">
      <x14:conditionalFormattings>
        <x14:conditionalFormatting xmlns:xm="http://schemas.microsoft.com/office/excel/2006/main">
          <x14:cfRule type="expression" priority="3" id="{46316E38-5AA1-4821-9D10-125BCAB29CDD}">
            <xm:f>IF(ISNUMBER(C5)=FALSE,FALSE,IF(C5&gt;Parametrai!$C22,TRUE,FALSE))</xm:f>
            <x14:dxf>
              <font>
                <color rgb="FFC00000"/>
              </font>
              <fill>
                <patternFill>
                  <bgColor rgb="FFFFCDCD"/>
                </patternFill>
              </fill>
            </x14:dxf>
          </x14:cfRule>
          <xm:sqref>C5:L5</xm:sqref>
        </x14:conditionalFormatting>
        <x14:conditionalFormatting xmlns:xm="http://schemas.microsoft.com/office/excel/2006/main">
          <x14:cfRule type="expression" priority="4" id="{C116515A-BFE8-45CD-856A-038E7A173155}">
            <xm:f>IF(ISNUMBER(C6)=FALSE,FALSE,IF(C6&lt;Parametrai!$C23,TRUE,FALSE))</xm:f>
            <x14:dxf>
              <font>
                <color rgb="FFC00000"/>
              </font>
              <fill>
                <patternFill>
                  <bgColor rgb="FFFFCCCC"/>
                </patternFill>
              </fill>
            </x14:dxf>
          </x14:cfRule>
          <xm:sqref>C6:L6</xm:sqref>
        </x14:conditionalFormatting>
        <x14:conditionalFormatting xmlns:xm="http://schemas.microsoft.com/office/excel/2006/main">
          <x14:cfRule type="expression" priority="2" id="{29CDFFF0-0A89-4E11-A16D-23E81767AAEB}">
            <xm:f>AND(D4&gt;=YEAR(Parametrai!$C$13),D4&lt;=MIN(YEAR('1'!$C$18),YEAR(EOMONTH(Parametrai!$C$13,Parametrai!$C$14)),IF(Parametrai!$C$16&lt;&gt;0,YEAR(Parametrai!$C$16),YEAR(EOMONTH(Parametrai!$C$13,Parametrai!$C$14)))))</xm:f>
            <x14:dxf>
              <fill>
                <patternFill>
                  <bgColor rgb="FFFFF0D2"/>
                </patternFill>
              </fill>
            </x14:dxf>
          </x14:cfRule>
          <xm:sqref>D4:L4</xm:sqref>
        </x14:conditionalFormatting>
      </x14:conditionalFormatting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06EE9E6-FC6F-4C9D-8034-08A029A6B9EC}">
  <sheetPr codeName="Lapas1">
    <tabColor theme="1"/>
  </sheetPr>
  <dimension ref="A1:J111"/>
  <sheetViews>
    <sheetView topLeftCell="A73" workbookViewId="0">
      <selection activeCell="C93" sqref="C93"/>
    </sheetView>
  </sheetViews>
  <sheetFormatPr defaultRowHeight="14.4" x14ac:dyDescent="0.3"/>
  <cols>
    <col min="1" max="1" width="50" style="274" customWidth="1"/>
  </cols>
  <sheetData>
    <row r="1" spans="1:10" s="60" customFormat="1" x14ac:dyDescent="0.3">
      <c r="A1" s="273" t="s">
        <v>163</v>
      </c>
    </row>
    <row r="2" spans="1:10" s="60" customFormat="1" x14ac:dyDescent="0.3">
      <c r="A2" s="274" t="s">
        <v>164</v>
      </c>
    </row>
    <row r="3" spans="1:10" s="60" customFormat="1" ht="80.25" customHeight="1" x14ac:dyDescent="0.3">
      <c r="A3" s="275" t="s">
        <v>904</v>
      </c>
    </row>
    <row r="4" spans="1:10" ht="51" x14ac:dyDescent="0.3">
      <c r="A4" s="275" t="s">
        <v>896</v>
      </c>
      <c r="J4" s="272"/>
    </row>
    <row r="5" spans="1:10" ht="49.5" customHeight="1" x14ac:dyDescent="0.3">
      <c r="A5" s="275" t="s">
        <v>897</v>
      </c>
    </row>
    <row r="6" spans="1:10" ht="48.75" customHeight="1" x14ac:dyDescent="0.3">
      <c r="A6" s="275" t="s">
        <v>898</v>
      </c>
    </row>
    <row r="7" spans="1:10" ht="40.799999999999997" x14ac:dyDescent="0.3">
      <c r="A7" s="275" t="s">
        <v>899</v>
      </c>
    </row>
    <row r="8" spans="1:10" ht="20.399999999999999" x14ac:dyDescent="0.3">
      <c r="A8" s="275" t="s">
        <v>901</v>
      </c>
    </row>
    <row r="9" spans="1:10" ht="30.6" x14ac:dyDescent="0.3">
      <c r="A9" s="275" t="s">
        <v>903</v>
      </c>
    </row>
    <row r="10" spans="1:10" ht="81.599999999999994" x14ac:dyDescent="0.3">
      <c r="A10" s="275" t="s">
        <v>900</v>
      </c>
    </row>
    <row r="11" spans="1:10" x14ac:dyDescent="0.3">
      <c r="A11" s="276"/>
    </row>
    <row r="13" spans="1:10" x14ac:dyDescent="0.3">
      <c r="A13" s="273" t="s">
        <v>166</v>
      </c>
    </row>
    <row r="14" spans="1:10" x14ac:dyDescent="0.3">
      <c r="A14" s="274" t="s">
        <v>164</v>
      </c>
    </row>
    <row r="15" spans="1:10" x14ac:dyDescent="0.3">
      <c r="A15" s="274" t="s">
        <v>220</v>
      </c>
    </row>
    <row r="16" spans="1:10" x14ac:dyDescent="0.3">
      <c r="A16" s="274" t="s">
        <v>219</v>
      </c>
    </row>
    <row r="18" spans="1:1" x14ac:dyDescent="0.3">
      <c r="A18" s="273" t="s">
        <v>168</v>
      </c>
    </row>
    <row r="19" spans="1:1" x14ac:dyDescent="0.3">
      <c r="A19" s="274" t="s">
        <v>164</v>
      </c>
    </row>
    <row r="20" spans="1:1" x14ac:dyDescent="0.3">
      <c r="A20" s="274" t="s">
        <v>218</v>
      </c>
    </row>
    <row r="21" spans="1:1" x14ac:dyDescent="0.3">
      <c r="A21" s="274" t="s">
        <v>217</v>
      </c>
    </row>
    <row r="23" spans="1:1" s="60" customFormat="1" x14ac:dyDescent="0.3">
      <c r="A23" s="273" t="s">
        <v>906</v>
      </c>
    </row>
    <row r="24" spans="1:1" x14ac:dyDescent="0.3">
      <c r="A24" s="274" t="s">
        <v>164</v>
      </c>
    </row>
    <row r="25" spans="1:1" ht="14.7" customHeight="1" x14ac:dyDescent="0.3">
      <c r="A25" s="274" t="s">
        <v>907</v>
      </c>
    </row>
    <row r="26" spans="1:1" ht="14.7" customHeight="1" x14ac:dyDescent="0.3">
      <c r="A26" s="274" t="s">
        <v>908</v>
      </c>
    </row>
    <row r="27" spans="1:1" ht="14.7" customHeight="1" x14ac:dyDescent="0.3">
      <c r="A27" s="274" t="s">
        <v>909</v>
      </c>
    </row>
    <row r="29" spans="1:1" x14ac:dyDescent="0.3">
      <c r="A29" s="273" t="s">
        <v>171</v>
      </c>
    </row>
    <row r="30" spans="1:1" x14ac:dyDescent="0.3">
      <c r="A30" s="274" t="s">
        <v>164</v>
      </c>
    </row>
    <row r="31" spans="1:1" s="60" customFormat="1" ht="14.7" customHeight="1" x14ac:dyDescent="0.3">
      <c r="A31" s="274" t="s">
        <v>216</v>
      </c>
    </row>
    <row r="32" spans="1:1" s="60" customFormat="1" ht="14.7" customHeight="1" x14ac:dyDescent="0.3">
      <c r="A32" s="274" t="s">
        <v>215</v>
      </c>
    </row>
    <row r="33" spans="1:2" s="60" customFormat="1" ht="14.7" customHeight="1" x14ac:dyDescent="0.3">
      <c r="A33" s="274" t="s">
        <v>214</v>
      </c>
    </row>
    <row r="34" spans="1:2" s="60" customFormat="1" ht="14.7" customHeight="1" x14ac:dyDescent="0.3">
      <c r="A34" s="274" t="s">
        <v>213</v>
      </c>
    </row>
    <row r="35" spans="1:2" s="60" customFormat="1" ht="14.7" customHeight="1" x14ac:dyDescent="0.3">
      <c r="A35" s="274" t="s">
        <v>212</v>
      </c>
    </row>
    <row r="36" spans="1:2" s="60" customFormat="1" ht="14.7" customHeight="1" x14ac:dyDescent="0.3">
      <c r="A36" s="274" t="s">
        <v>211</v>
      </c>
    </row>
    <row r="37" spans="1:2" s="60" customFormat="1" ht="14.7" customHeight="1" x14ac:dyDescent="0.3">
      <c r="A37" s="274" t="s">
        <v>210</v>
      </c>
    </row>
    <row r="38" spans="1:2" x14ac:dyDescent="0.3">
      <c r="A38" s="61"/>
      <c r="B38" s="61"/>
    </row>
    <row r="39" spans="1:2" s="60" customFormat="1" x14ac:dyDescent="0.3">
      <c r="A39" s="273" t="s">
        <v>180</v>
      </c>
    </row>
    <row r="40" spans="1:2" s="60" customFormat="1" x14ac:dyDescent="0.3">
      <c r="A40" s="274" t="s">
        <v>164</v>
      </c>
    </row>
    <row r="41" spans="1:2" ht="14.7" customHeight="1" x14ac:dyDescent="0.3">
      <c r="A41" s="274" t="s">
        <v>209</v>
      </c>
    </row>
    <row r="42" spans="1:2" ht="14.7" customHeight="1" x14ac:dyDescent="0.3">
      <c r="A42" s="274" t="s">
        <v>208</v>
      </c>
    </row>
    <row r="43" spans="1:2" ht="14.7" customHeight="1" x14ac:dyDescent="0.3">
      <c r="A43" s="274" t="s">
        <v>207</v>
      </c>
    </row>
    <row r="44" spans="1:2" ht="14.7" customHeight="1" x14ac:dyDescent="0.3">
      <c r="A44" s="274" t="s">
        <v>206</v>
      </c>
    </row>
    <row r="45" spans="1:2" ht="14.7" customHeight="1" x14ac:dyDescent="0.3">
      <c r="A45" s="274" t="s">
        <v>205</v>
      </c>
    </row>
    <row r="46" spans="1:2" ht="14.7" customHeight="1" x14ac:dyDescent="0.3">
      <c r="A46" s="274" t="s">
        <v>204</v>
      </c>
    </row>
    <row r="48" spans="1:2" s="60" customFormat="1" x14ac:dyDescent="0.3">
      <c r="A48" s="273" t="s">
        <v>203</v>
      </c>
    </row>
    <row r="49" spans="1:1" x14ac:dyDescent="0.3">
      <c r="A49" s="274" t="s">
        <v>164</v>
      </c>
    </row>
    <row r="50" spans="1:1" ht="14.7" customHeight="1" x14ac:dyDescent="0.3">
      <c r="A50" s="274" t="s">
        <v>202</v>
      </c>
    </row>
    <row r="51" spans="1:1" ht="14.7" customHeight="1" x14ac:dyDescent="0.3">
      <c r="A51" s="274" t="s">
        <v>201</v>
      </c>
    </row>
    <row r="53" spans="1:1" s="60" customFormat="1" x14ac:dyDescent="0.3">
      <c r="A53" s="273" t="s">
        <v>200</v>
      </c>
    </row>
    <row r="54" spans="1:1" x14ac:dyDescent="0.3">
      <c r="A54" s="274" t="s">
        <v>164</v>
      </c>
    </row>
    <row r="55" spans="1:1" ht="14.7" customHeight="1" x14ac:dyDescent="0.3">
      <c r="A55" s="274" t="s">
        <v>199</v>
      </c>
    </row>
    <row r="56" spans="1:1" ht="14.7" customHeight="1" x14ac:dyDescent="0.3">
      <c r="A56" s="274" t="s">
        <v>198</v>
      </c>
    </row>
    <row r="57" spans="1:1" ht="14.7" customHeight="1" x14ac:dyDescent="0.3">
      <c r="A57" s="274" t="s">
        <v>197</v>
      </c>
    </row>
    <row r="60" spans="1:1" s="60" customFormat="1" x14ac:dyDescent="0.3">
      <c r="A60" s="273" t="s">
        <v>196</v>
      </c>
    </row>
    <row r="61" spans="1:1" x14ac:dyDescent="0.3">
      <c r="A61" s="274" t="s">
        <v>164</v>
      </c>
    </row>
    <row r="62" spans="1:1" ht="14.7" customHeight="1" x14ac:dyDescent="0.3">
      <c r="A62" s="274" t="s">
        <v>195</v>
      </c>
    </row>
    <row r="63" spans="1:1" ht="14.7" customHeight="1" x14ac:dyDescent="0.3">
      <c r="A63" s="274" t="s">
        <v>194</v>
      </c>
    </row>
    <row r="66" spans="1:1" s="60" customFormat="1" x14ac:dyDescent="0.3">
      <c r="A66" s="273" t="s">
        <v>193</v>
      </c>
    </row>
    <row r="67" spans="1:1" x14ac:dyDescent="0.3">
      <c r="A67" s="274" t="s">
        <v>164</v>
      </c>
    </row>
    <row r="68" spans="1:1" ht="14.7" customHeight="1" x14ac:dyDescent="0.3">
      <c r="A68" s="274" t="s">
        <v>192</v>
      </c>
    </row>
    <row r="69" spans="1:1" ht="14.7" customHeight="1" x14ac:dyDescent="0.3">
      <c r="A69" s="274" t="s">
        <v>191</v>
      </c>
    </row>
    <row r="71" spans="1:1" s="60" customFormat="1" x14ac:dyDescent="0.3">
      <c r="A71" s="273" t="s">
        <v>190</v>
      </c>
    </row>
    <row r="72" spans="1:1" x14ac:dyDescent="0.3">
      <c r="A72" s="274" t="s">
        <v>164</v>
      </c>
    </row>
    <row r="73" spans="1:1" ht="14.7" customHeight="1" x14ac:dyDescent="0.3">
      <c r="A73" s="274" t="s">
        <v>189</v>
      </c>
    </row>
    <row r="74" spans="1:1" ht="14.7" customHeight="1" x14ac:dyDescent="0.3">
      <c r="A74" s="274" t="s">
        <v>188</v>
      </c>
    </row>
    <row r="76" spans="1:1" s="60" customFormat="1" x14ac:dyDescent="0.3">
      <c r="A76" s="273" t="s">
        <v>184</v>
      </c>
    </row>
    <row r="77" spans="1:1" x14ac:dyDescent="0.3">
      <c r="A77" s="274" t="s">
        <v>164</v>
      </c>
    </row>
    <row r="78" spans="1:1" x14ac:dyDescent="0.3">
      <c r="A78" s="274" t="s">
        <v>187</v>
      </c>
    </row>
    <row r="79" spans="1:1" x14ac:dyDescent="0.3">
      <c r="A79" s="274" t="s">
        <v>186</v>
      </c>
    </row>
    <row r="80" spans="1:1" x14ac:dyDescent="0.3">
      <c r="A80" s="274" t="s">
        <v>185</v>
      </c>
    </row>
    <row r="82" spans="1:3" x14ac:dyDescent="0.3">
      <c r="A82" s="273" t="s">
        <v>246</v>
      </c>
    </row>
    <row r="83" spans="1:3" x14ac:dyDescent="0.3">
      <c r="A83" s="274" t="s">
        <v>164</v>
      </c>
    </row>
    <row r="84" spans="1:3" x14ac:dyDescent="0.3">
      <c r="A84" s="274" t="s">
        <v>264</v>
      </c>
    </row>
    <row r="85" spans="1:3" x14ac:dyDescent="0.3">
      <c r="A85" s="274" t="s">
        <v>244</v>
      </c>
    </row>
    <row r="86" spans="1:3" x14ac:dyDescent="0.3">
      <c r="A86" s="274" t="s">
        <v>245</v>
      </c>
    </row>
    <row r="89" spans="1:3" x14ac:dyDescent="0.3">
      <c r="A89" s="273" t="s">
        <v>273</v>
      </c>
    </row>
    <row r="90" spans="1:3" x14ac:dyDescent="0.3">
      <c r="A90" s="274" t="s">
        <v>840</v>
      </c>
      <c r="B90" t="s">
        <v>839</v>
      </c>
      <c r="C90" t="s">
        <v>589</v>
      </c>
    </row>
    <row r="91" spans="1:3" x14ac:dyDescent="0.3">
      <c r="A91" s="274" t="str">
        <f>IF(ParamosIšmokėjimoBūdai[[#This Row],[Taikymas]]="Taip",ParamosIšmokėjimoBūdai[[#This Row],[Būdas]],"")</f>
        <v>Kompensavimas</v>
      </c>
      <c r="B91" t="str">
        <f>_xlfn.XLOOKUP(ParamosIšmokėjimoBūdai[[#This Row],[Būdas]],Lentelė5[Naudojami paramos išmokėjimo būdai],Lentelė5[Pasirinkti])</f>
        <v>Taip</v>
      </c>
      <c r="C91" t="s">
        <v>274</v>
      </c>
    </row>
    <row r="92" spans="1:3" x14ac:dyDescent="0.3">
      <c r="A92" s="274" t="s">
        <v>275</v>
      </c>
      <c r="B92" s="81" t="str">
        <f>_xlfn.XLOOKUP(ParamosIšmokėjimoBūdai[[#This Row],[Būdas]],Lentelė5[Naudojami paramos išmokėjimo būdai],Lentelė5[Pasirinkti])</f>
        <v>Taip</v>
      </c>
      <c r="C92" t="s">
        <v>275</v>
      </c>
    </row>
    <row r="93" spans="1:3" x14ac:dyDescent="0.3">
      <c r="A93" s="274" t="s">
        <v>265</v>
      </c>
      <c r="B93" t="str">
        <f>_xlfn.XLOOKUP(ParamosIšmokėjimoBūdai[[#This Row],[Būdas]],Lentelė5[Naudojami paramos išmokėjimo būdai],Lentelė5[Pasirinkti])</f>
        <v>Taip</v>
      </c>
      <c r="C93" t="s">
        <v>265</v>
      </c>
    </row>
    <row r="95" spans="1:3" x14ac:dyDescent="0.3">
      <c r="A95" s="273" t="s">
        <v>295</v>
      </c>
    </row>
    <row r="96" spans="1:3" x14ac:dyDescent="0.3">
      <c r="A96" s="274" t="s">
        <v>19</v>
      </c>
    </row>
    <row r="97" spans="1:1" x14ac:dyDescent="0.3">
      <c r="A97" s="66" t="s">
        <v>177</v>
      </c>
    </row>
    <row r="98" spans="1:1" x14ac:dyDescent="0.3">
      <c r="A98" s="274" t="s">
        <v>296</v>
      </c>
    </row>
    <row r="99" spans="1:1" x14ac:dyDescent="0.3">
      <c r="A99" s="274" t="s">
        <v>297</v>
      </c>
    </row>
    <row r="100" spans="1:1" ht="16.2" x14ac:dyDescent="0.3">
      <c r="A100" s="274" t="s">
        <v>299</v>
      </c>
    </row>
    <row r="101" spans="1:1" ht="16.2" x14ac:dyDescent="0.3">
      <c r="A101" s="274" t="s">
        <v>300</v>
      </c>
    </row>
    <row r="104" spans="1:1" x14ac:dyDescent="0.3">
      <c r="A104" s="273" t="s">
        <v>823</v>
      </c>
    </row>
    <row r="105" spans="1:1" x14ac:dyDescent="0.3">
      <c r="A105" s="274" t="s">
        <v>824</v>
      </c>
    </row>
    <row r="106" spans="1:1" x14ac:dyDescent="0.3">
      <c r="A106" s="274" t="s">
        <v>825</v>
      </c>
    </row>
    <row r="109" spans="1:1" x14ac:dyDescent="0.3">
      <c r="A109" s="274" t="s">
        <v>836</v>
      </c>
    </row>
    <row r="110" spans="1:1" x14ac:dyDescent="0.3">
      <c r="A110" s="274" t="s">
        <v>835</v>
      </c>
    </row>
    <row r="111" spans="1:1" x14ac:dyDescent="0.3">
      <c r="A111" s="274" t="s">
        <v>837</v>
      </c>
    </row>
  </sheetData>
  <pageMargins left="0.7" right="0.7" top="0.75" bottom="0.75" header="0.3" footer="0.3"/>
  <pageSetup paperSize="9" orientation="portrait" r:id="rId1"/>
  <tableParts count="2">
    <tablePart r:id="rId2"/>
    <tablePart r:id="rId3"/>
  </tablePart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0C99541-B641-436B-A3FE-032A06D4FC53}">
  <sheetPr codeName="Sheet2">
    <tabColor theme="1"/>
  </sheetPr>
  <dimension ref="A2:E9"/>
  <sheetViews>
    <sheetView workbookViewId="0">
      <selection activeCell="B18" sqref="B18"/>
    </sheetView>
  </sheetViews>
  <sheetFormatPr defaultRowHeight="14.4" x14ac:dyDescent="0.3"/>
  <cols>
    <col min="1" max="1" width="5.109375" customWidth="1"/>
    <col min="2" max="2" width="51.88671875" customWidth="1"/>
    <col min="3" max="3" width="11.6640625" customWidth="1"/>
    <col min="4" max="4" width="51.88671875" customWidth="1"/>
    <col min="5" max="5" width="11.6640625" customWidth="1"/>
  </cols>
  <sheetData>
    <row r="2" spans="1:5" x14ac:dyDescent="0.3">
      <c r="B2" s="253" t="s">
        <v>590</v>
      </c>
      <c r="C2" s="254" t="s">
        <v>841</v>
      </c>
    </row>
    <row r="4" spans="1:5" x14ac:dyDescent="0.3">
      <c r="B4" t="s">
        <v>591</v>
      </c>
    </row>
    <row r="6" spans="1:5" ht="28.8" x14ac:dyDescent="0.3">
      <c r="A6" s="259" t="s">
        <v>21</v>
      </c>
      <c r="B6" s="259" t="s">
        <v>593</v>
      </c>
      <c r="C6" s="259" t="s">
        <v>594</v>
      </c>
      <c r="D6" s="259" t="s">
        <v>592</v>
      </c>
      <c r="E6" s="259" t="s">
        <v>595</v>
      </c>
    </row>
    <row r="7" spans="1:5" ht="72" x14ac:dyDescent="0.3">
      <c r="A7" s="65">
        <f>ROW()-ROW(Pataisymai[[#Headers],[Eil. Nr.]])</f>
        <v>1</v>
      </c>
      <c r="B7" s="63" t="s">
        <v>651</v>
      </c>
      <c r="C7" s="263">
        <v>45357</v>
      </c>
      <c r="D7" s="63" t="s">
        <v>806</v>
      </c>
      <c r="E7" s="62"/>
    </row>
    <row r="8" spans="1:5" x14ac:dyDescent="0.3">
      <c r="A8" s="65">
        <f>ROW()-ROW(Pataisymai[[#Headers],[Eil. Nr.]])</f>
        <v>2</v>
      </c>
      <c r="B8" s="63" t="s">
        <v>796</v>
      </c>
      <c r="C8" s="263">
        <v>45362</v>
      </c>
      <c r="D8" s="63"/>
      <c r="E8" s="62"/>
    </row>
    <row r="9" spans="1:5" ht="28.8" x14ac:dyDescent="0.3">
      <c r="A9" s="65">
        <f>ROW()-ROW(Pataisymai[[#Headers],[Eil. Nr.]])</f>
        <v>3</v>
      </c>
      <c r="B9" s="63" t="s">
        <v>843</v>
      </c>
      <c r="C9" s="263">
        <v>45364</v>
      </c>
      <c r="D9" s="63" t="s">
        <v>842</v>
      </c>
      <c r="E9" s="263">
        <v>45385</v>
      </c>
    </row>
  </sheetData>
  <pageMargins left="0.7" right="0.7" top="0.75" bottom="0.75" header="0.3" footer="0.3"/>
  <pageSetup paperSize="9" orientation="landscape" horizontalDpi="1200" verticalDpi="1200" r:id="rId1"/>
  <tableParts count="1">
    <tablePart r:id="rId2"/>
  </tablePart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97378C2-9BCF-4386-B0ED-E769A9C72689}">
  <sheetPr codeName="Lapas2">
    <tabColor theme="0"/>
  </sheetPr>
  <dimension ref="B1:E32"/>
  <sheetViews>
    <sheetView tabSelected="1" topLeftCell="A4" zoomScale="92" zoomScaleNormal="120" workbookViewId="0">
      <selection activeCell="J6" sqref="J6"/>
    </sheetView>
  </sheetViews>
  <sheetFormatPr defaultRowHeight="14.4" x14ac:dyDescent="0.3"/>
  <cols>
    <col min="1" max="1" width="4.109375" customWidth="1"/>
    <col min="2" max="2" width="32.88671875" customWidth="1"/>
    <col min="3" max="3" width="44.109375" customWidth="1"/>
    <col min="4" max="4" width="4.109375" customWidth="1"/>
  </cols>
  <sheetData>
    <row r="1" spans="2:5" x14ac:dyDescent="0.3">
      <c r="B1" t="s">
        <v>927</v>
      </c>
    </row>
    <row r="2" spans="2:5" x14ac:dyDescent="0.3">
      <c r="B2" s="253"/>
      <c r="C2" s="257"/>
    </row>
    <row r="3" spans="2:5" ht="50.25" customHeight="1" x14ac:dyDescent="0.3">
      <c r="B3" s="434" t="s">
        <v>925</v>
      </c>
      <c r="C3" s="435"/>
    </row>
    <row r="4" spans="2:5" x14ac:dyDescent="0.3">
      <c r="B4" s="60" t="s">
        <v>229</v>
      </c>
    </row>
    <row r="5" spans="2:5" x14ac:dyDescent="0.3">
      <c r="B5" s="60"/>
    </row>
    <row r="6" spans="2:5" ht="115.2" x14ac:dyDescent="0.3">
      <c r="B6" s="71" t="s">
        <v>547</v>
      </c>
      <c r="C6" s="417" t="s">
        <v>928</v>
      </c>
    </row>
    <row r="7" spans="2:5" x14ac:dyDescent="0.3">
      <c r="C7" s="418"/>
    </row>
    <row r="8" spans="2:5" x14ac:dyDescent="0.3">
      <c r="C8" s="419"/>
    </row>
    <row r="9" spans="2:5" x14ac:dyDescent="0.3">
      <c r="B9" s="270" t="s">
        <v>844</v>
      </c>
      <c r="C9" s="420" t="s">
        <v>825</v>
      </c>
    </row>
    <row r="10" spans="2:5" x14ac:dyDescent="0.3">
      <c r="C10" s="418"/>
    </row>
    <row r="11" spans="2:5" x14ac:dyDescent="0.3">
      <c r="C11" s="418"/>
    </row>
    <row r="12" spans="2:5" x14ac:dyDescent="0.3">
      <c r="B12" s="71" t="s">
        <v>344</v>
      </c>
      <c r="C12" s="421">
        <v>46104</v>
      </c>
    </row>
    <row r="13" spans="2:5" x14ac:dyDescent="0.3">
      <c r="B13" s="71" t="s">
        <v>173</v>
      </c>
      <c r="C13" s="422" t="s">
        <v>929</v>
      </c>
    </row>
    <row r="14" spans="2:5" ht="28.8" x14ac:dyDescent="0.3">
      <c r="B14" s="71" t="s">
        <v>226</v>
      </c>
      <c r="C14" s="423">
        <v>36</v>
      </c>
    </row>
    <row r="15" spans="2:5" ht="28.8" x14ac:dyDescent="0.3">
      <c r="B15" s="71" t="s">
        <v>230</v>
      </c>
      <c r="C15" s="423">
        <v>3</v>
      </c>
    </row>
    <row r="16" spans="2:5" x14ac:dyDescent="0.3">
      <c r="B16" s="185" t="s">
        <v>233</v>
      </c>
      <c r="C16" s="424"/>
      <c r="E16" s="62" t="s">
        <v>283</v>
      </c>
    </row>
    <row r="17" spans="2:3" x14ac:dyDescent="0.3">
      <c r="B17" s="71" t="s">
        <v>337</v>
      </c>
      <c r="C17" s="423">
        <v>3</v>
      </c>
    </row>
    <row r="18" spans="2:3" x14ac:dyDescent="0.3">
      <c r="B18" s="186"/>
      <c r="C18" s="184"/>
    </row>
    <row r="19" spans="2:3" x14ac:dyDescent="0.3">
      <c r="B19" s="186"/>
      <c r="C19" s="184"/>
    </row>
    <row r="20" spans="2:3" x14ac:dyDescent="0.3">
      <c r="B20" s="187" t="s">
        <v>228</v>
      </c>
      <c r="C20" s="74" t="s">
        <v>179</v>
      </c>
    </row>
    <row r="21" spans="2:3" x14ac:dyDescent="0.3">
      <c r="B21" s="71" t="s">
        <v>158</v>
      </c>
      <c r="C21" s="425">
        <v>1.25</v>
      </c>
    </row>
    <row r="22" spans="2:3" x14ac:dyDescent="0.3">
      <c r="B22" s="71" t="s">
        <v>159</v>
      </c>
      <c r="C22" s="425">
        <v>0.65</v>
      </c>
    </row>
    <row r="23" spans="2:3" x14ac:dyDescent="0.3">
      <c r="B23" s="71" t="s">
        <v>160</v>
      </c>
      <c r="C23" s="426">
        <v>0.01</v>
      </c>
    </row>
    <row r="24" spans="2:3" x14ac:dyDescent="0.3">
      <c r="B24" s="71" t="s">
        <v>174</v>
      </c>
      <c r="C24" s="425">
        <v>1</v>
      </c>
    </row>
    <row r="25" spans="2:3" x14ac:dyDescent="0.3">
      <c r="B25" s="186"/>
      <c r="C25" s="184"/>
    </row>
    <row r="26" spans="2:3" x14ac:dyDescent="0.3">
      <c r="B26" s="186"/>
      <c r="C26" s="184"/>
    </row>
    <row r="27" spans="2:3" ht="28.8" x14ac:dyDescent="0.3">
      <c r="B27" s="71" t="s">
        <v>277</v>
      </c>
      <c r="C27" s="427">
        <v>0.4</v>
      </c>
    </row>
    <row r="29" spans="2:3" x14ac:dyDescent="0.3">
      <c r="B29" s="431" t="s">
        <v>834</v>
      </c>
      <c r="C29" s="428" t="s">
        <v>838</v>
      </c>
    </row>
    <row r="30" spans="2:3" x14ac:dyDescent="0.3">
      <c r="B30" s="432" t="s">
        <v>274</v>
      </c>
      <c r="C30" s="429" t="s">
        <v>835</v>
      </c>
    </row>
    <row r="31" spans="2:3" x14ac:dyDescent="0.3">
      <c r="B31" s="432" t="s">
        <v>275</v>
      </c>
      <c r="C31" s="429" t="s">
        <v>835</v>
      </c>
    </row>
    <row r="32" spans="2:3" x14ac:dyDescent="0.3">
      <c r="B32" s="433" t="s">
        <v>265</v>
      </c>
      <c r="C32" s="430" t="s">
        <v>835</v>
      </c>
    </row>
  </sheetData>
  <sheetProtection algorithmName="SHA-512" hashValue="+x3LtbxplIvOsHam9vzojTwkLPZZMdsBla+wsSB7rQ13oxxbiDnkY/Zi3Yf7eHO1tNVFGQ4HOsBW6aB7NN1jYw==" saltValue="2R/nGZiDDF4WikcRCT5xEQ==" spinCount="100000" sheet="1" objects="1" scenarios="1"/>
  <protectedRanges>
    <protectedRange algorithmName="SHA-512" hashValue="f1hO8TT/TXF6lKlmNc83hpUGg58sE4J+1KaFb2pe8mSbb65cL4PfwhrpPeEfR0aHM1L1iLgrfpO4yaRPBG7O1g==" saltValue="rNwzb1uUPoFGasklYNltMg==" spinCount="100000" sqref="B30:C32" name="Range5"/>
    <protectedRange algorithmName="SHA-512" hashValue="LtY17K08cNO8BHc1tMBV17xpt+NyVqGZ56clOwiG0YH6pS1c+Y/jGJhi2elaFrNwZQZdRM29NatIoZAIvDzxkA==" saltValue="NofcAWEfZxX0xe/Jb6y/8Q==" spinCount="100000" sqref="B12:C17" name="Range1"/>
    <protectedRange algorithmName="SHA-512" hashValue="TupaUIjzKpLueIMSXJzliyPE+wg6+fghSZJIotRRv1ZUx2nKXBrMndGI4X2oOiEsfphZNBx3MlgJvw812naeBQ==" saltValue="Bw02rCK+OZ3byh/6cfil6Q==" spinCount="100000" sqref="B20:C24" name="Range2"/>
    <protectedRange algorithmName="SHA-512" hashValue="8LiQ01puwQzCj++GrKwXgQLu82XkU/LiVkrq/0cqlS3xsRfD/oAb5cc0WHKCUte0EVxUGM0yfwm7MlLWw60HeA==" saltValue="Z1cQKO/XBXVLWZLHUpDyxg==" spinCount="100000" sqref="B27:C27" name="Range3"/>
    <protectedRange algorithmName="SHA-512" hashValue="YPKWPGPKzHQGDPJX143uzswatTS5gdAqWHFocUPot1SBeLxCsDehVHulXK3Ez4z/xlRP6T37E0l00W9QdaQsYA==" saltValue="3qQ5hf51cKvQ6XXJYyx6Cg==" spinCount="100000" sqref="B29:C29" name="Range4"/>
  </protectedRanges>
  <mergeCells count="1">
    <mergeCell ref="B3:C3"/>
  </mergeCells>
  <dataValidations count="1">
    <dataValidation type="list" allowBlank="1" showInputMessage="1" showErrorMessage="1" sqref="C30:C32" xr:uid="{E15458E8-9B84-4C94-9A0B-E893A7B28811}">
      <formula1>Meniu_TaipNe</formula1>
    </dataValidation>
  </dataValidations>
  <pageMargins left="0.7" right="0.7" top="0.75" bottom="0.75" header="0.3" footer="0.3"/>
  <pageSetup paperSize="9" orientation="portrait" r:id="rId1"/>
  <tableParts count="1">
    <tablePart r:id="rId2"/>
  </tableParts>
  <extLst>
    <ext xmlns:x14="http://schemas.microsoft.com/office/spreadsheetml/2009/9/main" uri="{CCE6A557-97BC-4b89-ADB6-D9C93CAAB3DF}">
      <x14:dataValidations xmlns:xm="http://schemas.microsoft.com/office/excel/2006/main" count="1">
        <x14:dataValidation type="list" allowBlank="1" showInputMessage="1" showErrorMessage="1" xr:uid="{07E29C4D-15EF-428B-B77D-72FEAA15370A}">
          <x14:formula1>
            <xm:f>Konstantos!$A$105:$A$106</xm:f>
          </x14:formula1>
          <xm:sqref>C9</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Lapas3">
    <tabColor theme="9"/>
  </sheetPr>
  <dimension ref="B2:D17"/>
  <sheetViews>
    <sheetView zoomScale="99" zoomScaleNormal="180" workbookViewId="0">
      <selection activeCell="D13" sqref="D13"/>
    </sheetView>
  </sheetViews>
  <sheetFormatPr defaultColWidth="8.6640625" defaultRowHeight="13.8" x14ac:dyDescent="0.3"/>
  <cols>
    <col min="1" max="1" width="2.33203125" style="232" customWidth="1"/>
    <col min="2" max="2" width="4.88671875" style="232" hidden="1" customWidth="1"/>
    <col min="3" max="3" width="7.88671875" style="232" customWidth="1"/>
    <col min="4" max="4" width="64.33203125" style="232" customWidth="1"/>
    <col min="5" max="5" width="2.44140625" style="232" customWidth="1"/>
    <col min="6" max="16384" width="8.6640625" style="232"/>
  </cols>
  <sheetData>
    <row r="2" spans="2:4" ht="14.4" x14ac:dyDescent="0.3">
      <c r="B2" s="436" t="s">
        <v>4</v>
      </c>
      <c r="C2" s="436"/>
      <c r="D2" s="436"/>
    </row>
    <row r="4" spans="2:4" s="233" customFormat="1" ht="26.25" customHeight="1" x14ac:dyDescent="0.3">
      <c r="B4" s="234" t="s">
        <v>21</v>
      </c>
      <c r="C4" s="234" t="s">
        <v>545</v>
      </c>
      <c r="D4" s="234" t="s">
        <v>293</v>
      </c>
    </row>
    <row r="5" spans="2:4" s="233" customFormat="1" ht="14.4" x14ac:dyDescent="0.3">
      <c r="B5" s="235">
        <f>ROW()-ROW(Turinys[[#Headers],[Eil. Nr.]])</f>
        <v>1</v>
      </c>
      <c r="C5" s="235"/>
      <c r="D5" s="236" t="s">
        <v>224</v>
      </c>
    </row>
    <row r="6" spans="2:4" s="233" customFormat="1" ht="14.4" x14ac:dyDescent="0.3">
      <c r="B6" s="235">
        <f>ROW()-ROW(Turinys[[#Headers],[Eil. Nr.]])</f>
        <v>2</v>
      </c>
      <c r="C6" s="235" t="s">
        <v>0</v>
      </c>
      <c r="D6" s="236" t="s">
        <v>580</v>
      </c>
    </row>
    <row r="7" spans="2:4" s="233" customFormat="1" ht="14.4" x14ac:dyDescent="0.3">
      <c r="B7" s="235">
        <f>ROW()-ROW(Turinys[[#Headers],[Eil. Nr.]])</f>
        <v>3</v>
      </c>
      <c r="C7" s="235" t="s">
        <v>6</v>
      </c>
      <c r="D7" s="236" t="s">
        <v>581</v>
      </c>
    </row>
    <row r="8" spans="2:4" s="233" customFormat="1" ht="28.8" x14ac:dyDescent="0.3">
      <c r="B8" s="235">
        <f>ROW()-ROW(Turinys[[#Headers],[Eil. Nr.]])</f>
        <v>4</v>
      </c>
      <c r="C8" s="235" t="s">
        <v>7</v>
      </c>
      <c r="D8" s="236" t="s">
        <v>582</v>
      </c>
    </row>
    <row r="9" spans="2:4" s="233" customFormat="1" ht="14.4" x14ac:dyDescent="0.3">
      <c r="B9" s="235">
        <f>ROW()-ROW(Turinys[[#Headers],[Eil. Nr.]])</f>
        <v>5</v>
      </c>
      <c r="C9" s="235" t="s">
        <v>98</v>
      </c>
      <c r="D9" s="236" t="s">
        <v>583</v>
      </c>
    </row>
    <row r="10" spans="2:4" s="233" customFormat="1" ht="14.4" x14ac:dyDescent="0.3">
      <c r="B10" s="235">
        <f>ROW()-ROW(Turinys[[#Headers],[Eil. Nr.]])</f>
        <v>6</v>
      </c>
      <c r="C10" s="235" t="s">
        <v>8</v>
      </c>
      <c r="D10" s="236" t="s">
        <v>584</v>
      </c>
    </row>
    <row r="11" spans="2:4" s="233" customFormat="1" ht="14.4" x14ac:dyDescent="0.3">
      <c r="B11" s="235">
        <f>ROW()-ROW(Turinys[[#Headers],[Eil. Nr.]])</f>
        <v>7</v>
      </c>
      <c r="C11" s="235" t="s">
        <v>20</v>
      </c>
      <c r="D11" s="236" t="s">
        <v>585</v>
      </c>
    </row>
    <row r="12" spans="2:4" s="233" customFormat="1" ht="14.4" x14ac:dyDescent="0.3">
      <c r="B12" s="235">
        <f>ROW()-ROW(Turinys[[#Headers],[Eil. Nr.]])</f>
        <v>8</v>
      </c>
      <c r="C12" s="235" t="s">
        <v>33</v>
      </c>
      <c r="D12" s="236" t="s">
        <v>586</v>
      </c>
    </row>
    <row r="13" spans="2:4" s="233" customFormat="1" ht="14.4" x14ac:dyDescent="0.3">
      <c r="B13" s="235">
        <f>ROW()-ROW(Turinys[[#Headers],[Eil. Nr.]])</f>
        <v>9</v>
      </c>
      <c r="C13" s="235" t="s">
        <v>35</v>
      </c>
      <c r="D13" s="236" t="s">
        <v>587</v>
      </c>
    </row>
    <row r="14" spans="2:4" s="233" customFormat="1" ht="14.4" x14ac:dyDescent="0.3">
      <c r="B14" s="235">
        <f>ROW()-ROW(Turinys[[#Headers],[Eil. Nr.]])</f>
        <v>10</v>
      </c>
      <c r="C14" s="235" t="s">
        <v>881</v>
      </c>
      <c r="D14" s="236" t="s">
        <v>90</v>
      </c>
    </row>
    <row r="15" spans="2:4" s="233" customFormat="1" ht="14.4" x14ac:dyDescent="0.3">
      <c r="B15" s="235">
        <f>ROW()-ROW(Turinys[[#Headers],[Eil. Nr.]])</f>
        <v>11</v>
      </c>
      <c r="C15" s="235" t="s">
        <v>882</v>
      </c>
      <c r="D15" s="236" t="s">
        <v>124</v>
      </c>
    </row>
    <row r="16" spans="2:4" s="233" customFormat="1" ht="14.4" x14ac:dyDescent="0.3">
      <c r="B16" s="235">
        <f>ROW()-ROW(Turinys[[#Headers],[Eil. Nr.]])</f>
        <v>12</v>
      </c>
      <c r="C16" s="235" t="s">
        <v>883</v>
      </c>
      <c r="D16" s="236" t="s">
        <v>126</v>
      </c>
    </row>
    <row r="17" spans="2:4" s="233" customFormat="1" ht="14.4" x14ac:dyDescent="0.3">
      <c r="B17" s="235">
        <f>ROW()-ROW(Turinys[[#Headers],[Eil. Nr.]])</f>
        <v>13</v>
      </c>
      <c r="C17" s="235" t="s">
        <v>884</v>
      </c>
      <c r="D17" s="236" t="s">
        <v>588</v>
      </c>
    </row>
  </sheetData>
  <sheetProtection algorithmName="SHA-512" hashValue="qDTUIbPnFsYcriWLcUw8ZlJ5ljiktrs5jrFRn5PPEtD+PTRW2PLe1XDqwlR8xQtMV2t2c1nHl8yfJ6efFE4GTg==" saltValue="7ppgI7TiqU3ClHEfDU6zBg==" spinCount="100000" sheet="1" objects="1" scenarios="1"/>
  <mergeCells count="1">
    <mergeCell ref="B2:D2"/>
  </mergeCells>
  <hyperlinks>
    <hyperlink ref="D5" location="Pastabos!A1" display="PASTABOS" xr:uid="{C27485F2-9D46-4D42-B1A6-8D904CAFCB1D}"/>
    <hyperlink ref="D6" location="'1'!A1" display="BENDROJI INFORMACIJA" xr:uid="{4DF1F204-A9B4-454F-A7CE-8585B331CA81}"/>
    <hyperlink ref="D8" location="'2-3'!A5" display="ESAMA SITUACIJA (IŠSKYRUS FINANSINĘ) IR PROGNOZUOJAMAS POKYTIS PO PARAMOS GAVIMO" xr:uid="{2AEDE6D3-B175-4230-822C-1457B2CB2A5A}"/>
    <hyperlink ref="D7" location="'2-3'!A1" display="INFORMACIJA APIE VERSLO IDĖJĄ" xr:uid="{D145206A-C0C4-4862-9759-A6CB9472ADF5}"/>
    <hyperlink ref="D9" location="'4'!A1" display="INFORMACIJA APIE PAJAMAS, PRODUKTŲ IR PASLAUGŲ PARDAVIMUS, GAMYBĄ " xr:uid="{2B44BD62-A909-4504-8105-B87AD6CF14BC}"/>
    <hyperlink ref="D10" location="'5'!A1" display="INFORMACIJA APIE INVESTICIJAS IR JŲ APMOKĖJIMO ŠALTINIUS" xr:uid="{A3EED6AE-AC46-4F52-AF90-E8397648E530}"/>
    <hyperlink ref="D11" location="'6'!A1" display="INFORMACIJA APIE ILGALAIKĮ TURTĄ" xr:uid="{5409807D-383F-4233-B289-E2060B72A5E4}"/>
    <hyperlink ref="D12" location="'7'!A1" display="INFORMACIJA APIE PAREIŠKĖJO VEIKLOS SĄNAUDAS" xr:uid="{799FB1D7-48F4-431D-A946-5BF218387AC4}"/>
    <hyperlink ref="D13" location="'8'!A1" display="INFORMACIJA APIE PASKOLAS IR (ARBA) IŠPERKAMĄJĄ (FINANSINĘ) NUOMĄ (LIZINGĄ), EUR" xr:uid="{D7CD52E3-822D-488A-AD72-A181DE131AC7}"/>
    <hyperlink ref="D14" location="'9.1_nvo'!A1" display="Balanso prognozės" xr:uid="{7B44613E-C956-4B88-A853-B8132B642E24}"/>
    <hyperlink ref="D15" location="'9.2_nvo'!A1" display="Pelno (nuostolių) prognozės" xr:uid="{4DB18A52-C6C6-403B-AF5A-A92806E87191}"/>
    <hyperlink ref="D16" location="'9.3_nvo'!A1" display="Pinigų srautų prognozės" xr:uid="{6F8FBBD0-5F96-4E9F-9353-44BE0597F5A0}"/>
    <hyperlink ref="D17" location="'10_nvo'!A1" display="Informacija apie ūkio subjekto ekonominio gyvybingumo rodiklius" xr:uid="{BCCD4FBE-38A2-43CF-B9E4-32EC0E533AA6}"/>
  </hyperlinks>
  <pageMargins left="0.7" right="0.7" top="0.75" bottom="0.75" header="0.3" footer="0.3"/>
  <pageSetup paperSize="9" orientation="portrait" horizontalDpi="4294967293" verticalDpi="4294967293" r:id="rId1"/>
  <tableParts count="1">
    <tablePart r:id="rId2"/>
  </tablePart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16FDDF2-3C2E-43B1-A052-F87281E7E7A7}">
  <sheetPr codeName="Lapas4">
    <tabColor rgb="FFC00000"/>
  </sheetPr>
  <dimension ref="A1:G12"/>
  <sheetViews>
    <sheetView zoomScale="106" zoomScaleNormal="150" workbookViewId="0">
      <selection activeCell="B11" sqref="B11"/>
    </sheetView>
  </sheetViews>
  <sheetFormatPr defaultColWidth="9.109375" defaultRowHeight="14.4" x14ac:dyDescent="0.3"/>
  <cols>
    <col min="1" max="1" width="3.44140625" style="274" customWidth="1"/>
    <col min="2" max="2" width="59.109375" style="274" customWidth="1"/>
    <col min="3" max="3" width="21.5546875" style="274" customWidth="1"/>
    <col min="4" max="4" width="11.6640625" style="274" hidden="1" customWidth="1"/>
    <col min="5" max="5" width="9.33203125" style="274" customWidth="1"/>
    <col min="6" max="6" width="12" style="274" customWidth="1"/>
    <col min="7" max="7" width="61.6640625" style="274" customWidth="1"/>
    <col min="8" max="16384" width="9.109375" style="274"/>
  </cols>
  <sheetData>
    <row r="1" spans="1:7" x14ac:dyDescent="0.3">
      <c r="G1" s="274" t="s">
        <v>916</v>
      </c>
    </row>
    <row r="2" spans="1:7" ht="15.6" x14ac:dyDescent="0.3">
      <c r="B2" s="279" t="s">
        <v>340</v>
      </c>
      <c r="F2" s="280" t="s">
        <v>911</v>
      </c>
      <c r="G2" s="281" t="s">
        <v>912</v>
      </c>
    </row>
    <row r="3" spans="1:7" ht="36" x14ac:dyDescent="0.3">
      <c r="B3" s="406" t="s">
        <v>924</v>
      </c>
      <c r="C3" s="274" t="s">
        <v>917</v>
      </c>
      <c r="F3" s="282"/>
      <c r="G3" s="283" t="s">
        <v>913</v>
      </c>
    </row>
    <row r="4" spans="1:7" ht="48" x14ac:dyDescent="0.3">
      <c r="B4" s="407" t="s">
        <v>923</v>
      </c>
      <c r="C4" s="277" t="s">
        <v>918</v>
      </c>
      <c r="F4" s="284"/>
      <c r="G4" s="285" t="s">
        <v>914</v>
      </c>
    </row>
    <row r="5" spans="1:7" ht="24" x14ac:dyDescent="0.3">
      <c r="B5" s="408" t="s">
        <v>922</v>
      </c>
      <c r="C5" s="274" t="s">
        <v>919</v>
      </c>
      <c r="F5" s="288"/>
      <c r="G5" s="289" t="s">
        <v>915</v>
      </c>
    </row>
    <row r="6" spans="1:7" ht="24" x14ac:dyDescent="0.3">
      <c r="B6" s="286" t="s">
        <v>431</v>
      </c>
      <c r="D6" s="274" t="s">
        <v>345</v>
      </c>
    </row>
    <row r="7" spans="1:7" ht="28.8" x14ac:dyDescent="0.3">
      <c r="B7" s="287" t="s">
        <v>430</v>
      </c>
      <c r="C7" s="277" t="s">
        <v>920</v>
      </c>
    </row>
    <row r="8" spans="1:7" ht="36" x14ac:dyDescent="0.3">
      <c r="B8" s="290" t="s">
        <v>546</v>
      </c>
      <c r="C8" s="274" t="s">
        <v>921</v>
      </c>
      <c r="D8" s="66" t="s">
        <v>341</v>
      </c>
    </row>
    <row r="9" spans="1:7" ht="36" x14ac:dyDescent="0.3">
      <c r="B9" s="291" t="s">
        <v>548</v>
      </c>
      <c r="C9" s="274" t="s">
        <v>921</v>
      </c>
      <c r="D9" s="274" t="s">
        <v>432</v>
      </c>
    </row>
    <row r="11" spans="1:7" ht="48" x14ac:dyDescent="0.3">
      <c r="A11" s="292"/>
      <c r="B11" s="293" t="s">
        <v>342</v>
      </c>
    </row>
    <row r="12" spans="1:7" ht="36" x14ac:dyDescent="0.3">
      <c r="B12" s="294" t="s">
        <v>343</v>
      </c>
    </row>
  </sheetData>
  <sheetProtection algorithmName="SHA-512" hashValue="l263SvTSmrk5nwnfYMsrRvbfvNnfCHmGrg0uX7KIEM+bEc/S+d/9Glk3kq4XabDVCPLBMC0WJnSNR0dhOAYa6A==" saltValue="cNMH1e9WtXkSfd+oxwIJjA==" spinCount="100000" sheet="1" objects="1" scenarios="1"/>
  <conditionalFormatting sqref="B3:B4">
    <cfRule type="expression" dxfId="103" priority="2">
      <formula>ISNUMBER(SEARCH("Klaida", B3))</formula>
    </cfRule>
  </conditionalFormatting>
  <pageMargins left="0.70866141732283472" right="0.70866141732283472" top="0.74803149606299213" bottom="0.74803149606299213" header="0.31496062992125984" footer="0.31496062992125984"/>
  <pageSetup paperSize="9" orientation="portrait" horizontalDpi="4294967293" verticalDpi="4294967293"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D305E91-B53C-4F64-85BE-F1E158634263}">
  <sheetPr codeName="Lapas5">
    <tabColor theme="9" tint="-0.249977111117893"/>
    <pageSetUpPr fitToPage="1"/>
  </sheetPr>
  <dimension ref="A1:K34"/>
  <sheetViews>
    <sheetView zoomScale="84" zoomScaleNormal="130" workbookViewId="0">
      <selection activeCell="B19" sqref="B19"/>
    </sheetView>
  </sheetViews>
  <sheetFormatPr defaultColWidth="8.88671875" defaultRowHeight="14.4" x14ac:dyDescent="0.3"/>
  <cols>
    <col min="1" max="1" width="9.109375" style="63" customWidth="1"/>
    <col min="2" max="2" width="34.6640625" style="63" customWidth="1"/>
    <col min="3" max="3" width="18.88671875" style="63" customWidth="1"/>
    <col min="4" max="5" width="18.33203125" style="63" customWidth="1"/>
    <col min="6" max="6" width="4.109375" style="62" customWidth="1"/>
    <col min="7" max="7" width="53.109375" style="62" customWidth="1"/>
    <col min="8" max="8" width="8.88671875" style="62"/>
    <col min="9" max="9" width="10.109375" style="62" bestFit="1" customWidth="1"/>
    <col min="10" max="10" width="9.44140625" style="62" customWidth="1"/>
    <col min="11" max="16384" width="8.88671875" style="62"/>
  </cols>
  <sheetData>
    <row r="1" spans="1:11" x14ac:dyDescent="0.3">
      <c r="E1" s="258" t="str">
        <f>_xlfn.CONCAT("Versija: ",Forma!$C$2,TEXT(Parametrai!$C$2,".000"))</f>
        <v>Versija: L2.000</v>
      </c>
      <c r="G1" s="299" t="s">
        <v>224</v>
      </c>
    </row>
    <row r="2" spans="1:11" ht="25.2" customHeight="1" x14ac:dyDescent="0.3">
      <c r="A2" s="441"/>
      <c r="B2" s="441"/>
      <c r="C2" s="441"/>
      <c r="D2" s="441"/>
      <c r="E2" s="441"/>
      <c r="G2" s="300" t="s">
        <v>877</v>
      </c>
    </row>
    <row r="3" spans="1:11" x14ac:dyDescent="0.3">
      <c r="C3" s="72" t="s">
        <v>225</v>
      </c>
      <c r="D3" s="72"/>
      <c r="G3" s="267"/>
    </row>
    <row r="4" spans="1:11" ht="25.2" customHeight="1" x14ac:dyDescent="0.3">
      <c r="A4" s="444"/>
      <c r="B4" s="444"/>
      <c r="C4" s="444"/>
      <c r="D4" s="444"/>
      <c r="E4" s="444"/>
      <c r="G4" s="267" t="s">
        <v>878</v>
      </c>
    </row>
    <row r="5" spans="1:11" x14ac:dyDescent="0.3">
      <c r="C5" s="72" t="s">
        <v>845</v>
      </c>
      <c r="D5" s="72"/>
      <c r="G5" s="267"/>
    </row>
    <row r="6" spans="1:11" ht="10.199999999999999" customHeight="1" x14ac:dyDescent="0.3">
      <c r="C6" s="72"/>
      <c r="D6" s="72"/>
      <c r="G6" s="267"/>
    </row>
    <row r="7" spans="1:11" ht="47.25" customHeight="1" x14ac:dyDescent="0.3">
      <c r="A7" s="446" t="s">
        <v>876</v>
      </c>
      <c r="B7" s="446"/>
      <c r="C7" s="446"/>
      <c r="D7" s="446"/>
      <c r="E7" s="446"/>
      <c r="G7" s="410"/>
    </row>
    <row r="8" spans="1:11" ht="10.199999999999999" customHeight="1" x14ac:dyDescent="0.3">
      <c r="A8" s="454"/>
      <c r="B8" s="454"/>
      <c r="C8" s="454"/>
      <c r="D8" s="454"/>
      <c r="E8" s="454"/>
      <c r="G8" s="267"/>
    </row>
    <row r="9" spans="1:11" ht="45.6" customHeight="1" x14ac:dyDescent="0.3">
      <c r="A9" s="445" t="str">
        <f>Parametrai!C6</f>
        <v xml:space="preserve">Verslo planas teikiamas pagal Alytaus rajono vietos veiklos grupės „Alytaus rajono ir Birštono savivaldybių kaimiškosios teritorijos  bendruomenių inicijuotos vietos plėtros strategija 2023 - 2029  metams“  Nr.20VS - PV-23-1-01764-PR001  3 priemonę "Teminių kaimų kūrimas ir vietos produktų populiarinimas"  Kvietimas teikti vietos  projektus Nr.13   (ALYT-LEADER-07-13) </v>
      </c>
      <c r="B9" s="445"/>
      <c r="C9" s="445"/>
      <c r="D9" s="445"/>
      <c r="E9" s="445"/>
      <c r="G9" s="267"/>
    </row>
    <row r="10" spans="1:11" ht="10.199999999999999" customHeight="1" x14ac:dyDescent="0.3">
      <c r="A10" s="59"/>
      <c r="G10" s="267"/>
    </row>
    <row r="11" spans="1:11" s="65" customFormat="1" ht="14.85" customHeight="1" x14ac:dyDescent="0.3">
      <c r="A11" s="59"/>
      <c r="B11" s="63"/>
      <c r="C11" s="319"/>
      <c r="D11" s="63"/>
      <c r="E11" s="63"/>
      <c r="G11" s="88" t="str">
        <f>IF(C11="","Klaida! Įveskite datą.","ok")</f>
        <v>Klaida! Įveskite datą.</v>
      </c>
      <c r="H11" s="62"/>
      <c r="I11" s="62"/>
      <c r="J11" s="62"/>
      <c r="K11" s="62"/>
    </row>
    <row r="12" spans="1:11" s="65" customFormat="1" ht="14.85" customHeight="1" x14ac:dyDescent="0.3">
      <c r="A12" s="63"/>
      <c r="B12" s="63"/>
      <c r="C12" s="69" t="s">
        <v>222</v>
      </c>
      <c r="D12" s="63"/>
      <c r="E12" s="63"/>
      <c r="G12" s="267"/>
      <c r="H12" s="62"/>
      <c r="I12" s="62"/>
      <c r="J12" s="62"/>
      <c r="K12" s="62"/>
    </row>
    <row r="13" spans="1:11" s="65" customFormat="1" ht="15.6" x14ac:dyDescent="0.3">
      <c r="A13" s="59"/>
      <c r="B13" s="63"/>
      <c r="C13" s="320"/>
      <c r="D13" s="63"/>
      <c r="E13" s="63"/>
      <c r="G13" s="267"/>
      <c r="H13" s="62"/>
      <c r="I13" s="62"/>
      <c r="J13" s="62"/>
      <c r="K13" s="62"/>
    </row>
    <row r="14" spans="1:11" ht="15.6" x14ac:dyDescent="0.3">
      <c r="A14" s="59"/>
      <c r="C14" s="70" t="s">
        <v>223</v>
      </c>
      <c r="D14" s="69"/>
      <c r="G14" s="267"/>
    </row>
    <row r="15" spans="1:11" x14ac:dyDescent="0.3">
      <c r="A15" s="121" t="s">
        <v>0</v>
      </c>
      <c r="B15" s="442" t="s">
        <v>161</v>
      </c>
      <c r="C15" s="442"/>
      <c r="D15" s="442"/>
      <c r="E15" s="442"/>
      <c r="G15" s="267"/>
    </row>
    <row r="16" spans="1:11" x14ac:dyDescent="0.3">
      <c r="A16" s="122" t="s">
        <v>1</v>
      </c>
      <c r="B16" s="447" t="s">
        <v>172</v>
      </c>
      <c r="C16" s="447"/>
      <c r="D16" s="447"/>
      <c r="E16" s="447"/>
      <c r="G16" s="267"/>
    </row>
    <row r="17" spans="1:7" ht="24.75" customHeight="1" x14ac:dyDescent="0.3">
      <c r="A17" s="73" t="s">
        <v>2</v>
      </c>
      <c r="B17" s="64" t="s">
        <v>232</v>
      </c>
      <c r="C17" s="363"/>
      <c r="D17" s="448"/>
      <c r="E17" s="449"/>
      <c r="G17" s="77" t="str">
        <f>IF(OR(C17="",C17&lt;'1'!C11),"Klaida: Neįvesta arba neteisingai įvesta data. Projektas gali būti įgyvendinamas tik po paraiškos pateikimo","ok")</f>
        <v>Klaida: Neįvesta arba neteisingai įvesta data. Projektas gali būti įgyvendinamas tik po paraiškos pateikimo</v>
      </c>
    </row>
    <row r="18" spans="1:7" ht="19.2" customHeight="1" x14ac:dyDescent="0.3">
      <c r="A18" s="73" t="s">
        <v>165</v>
      </c>
      <c r="B18" s="64" t="s">
        <v>231</v>
      </c>
      <c r="C18" s="363"/>
      <c r="D18" s="450"/>
      <c r="E18" s="451"/>
      <c r="G18" s="88" t="str">
        <f>IF(C17=0,"Klaida! Įveskite datą.",IF(OR(AND($C$18&gt;Parametrai!$C$16,Parametrai!$C$16&lt;&gt;0),C19&gt;Parametrai!$C$14),"Klaida: Neįvestas arba įvestas per ilgas projekto įgyvendinimo laikotarpis","ok"))</f>
        <v>Klaida! Įveskite datą.</v>
      </c>
    </row>
    <row r="19" spans="1:7" ht="19.2" customHeight="1" thickBot="1" x14ac:dyDescent="0.35">
      <c r="A19" s="75" t="s">
        <v>167</v>
      </c>
      <c r="B19" s="76" t="s">
        <v>227</v>
      </c>
      <c r="C19" s="361" t="str">
        <f>IF(C17=0,"-",IFERROR(IF(DAY(C18) &lt; DAY(C17), 1 + DATEDIF(C17, C18, "M") + (DAY(C18) - DAY(C17) + 1) / DAY(EOMONTH(C17,0)),DATEDIF(C17, C18, "M") + (DAY(C18) - DAY(C17) + 1) / DAY(EOMONTH(C17,0))),"-"))</f>
        <v>-</v>
      </c>
      <c r="D19" s="452"/>
      <c r="E19" s="453"/>
      <c r="G19" s="267" t="str">
        <f>_xlfn.CONCAT("Vėliausia projekto įgyvendinimo pabaigos data: ", TEXT(IF(Parametrai!$C$16&lt;&gt;0, MIN(Parametrai!$C$16, EDATE($C$17, Parametrai!$C$14)-1), EDATE($C$17, Parametrai!$C$14)-1), "yyyy-mm-dd"))</f>
        <v>Vėliausia projekto įgyvendinimo pabaigos data: 1902-12-30</v>
      </c>
    </row>
    <row r="20" spans="1:7" ht="15" thickTop="1" x14ac:dyDescent="0.3">
      <c r="A20" s="121" t="s">
        <v>3</v>
      </c>
      <c r="B20" s="443" t="s">
        <v>162</v>
      </c>
      <c r="C20" s="443"/>
      <c r="D20" s="443"/>
      <c r="E20" s="443"/>
      <c r="G20" s="267"/>
    </row>
    <row r="21" spans="1:7" ht="30" customHeight="1" x14ac:dyDescent="0.3">
      <c r="A21" s="71" t="s">
        <v>169</v>
      </c>
      <c r="B21" s="71" t="s">
        <v>905</v>
      </c>
      <c r="C21" s="438" t="s">
        <v>164</v>
      </c>
      <c r="D21" s="439"/>
      <c r="E21" s="440"/>
      <c r="G21" s="267" t="s">
        <v>596</v>
      </c>
    </row>
    <row r="22" spans="1:7" ht="28.8" x14ac:dyDescent="0.3">
      <c r="A22" s="71" t="s">
        <v>170</v>
      </c>
      <c r="B22" s="71" t="s">
        <v>166</v>
      </c>
      <c r="C22" s="316" t="s">
        <v>164</v>
      </c>
      <c r="D22" s="260" t="str">
        <f>IF(C22="Verslo pradžia","Ūkio subjekto registravimo data","")</f>
        <v/>
      </c>
      <c r="E22" s="278"/>
      <c r="G22" s="267" t="str">
        <f>IF(LEN(C22)&lt;=2,"Pildoma pasirinkus reikšmę iš sąrašo",IF(AND(C22="Verslo pradžia",E22=""),"Klaida! Įveskite ūkio subjekto registravimo pradžią","ok"))</f>
        <v>Pildoma pasirinkus reikšmę iš sąrašo</v>
      </c>
    </row>
    <row r="23" spans="1:7" ht="30.75" customHeight="1" x14ac:dyDescent="0.3">
      <c r="A23" s="63" t="s">
        <v>887</v>
      </c>
      <c r="B23" s="63" t="s">
        <v>284</v>
      </c>
      <c r="C23" s="362" t="str" cm="1">
        <f t="array" ref="C23">IFERROR(_xlfn.UNIQUE(_xlfn._xlws.FILTER('4'!D:D, ('4'!$B:$B="Veiklos kodas ir pavadinimas pagal EVRK")*('4'!$D:$D&lt;&gt;"")))," –")</f>
        <v xml:space="preserve"> –</v>
      </c>
      <c r="D23" s="268"/>
      <c r="E23" s="268"/>
      <c r="G23" s="301" t="s">
        <v>846</v>
      </c>
    </row>
    <row r="24" spans="1:7" x14ac:dyDescent="0.3">
      <c r="C24" s="267"/>
      <c r="D24" s="268"/>
      <c r="E24" s="268"/>
      <c r="G24" s="267"/>
    </row>
    <row r="25" spans="1:7" ht="189" customHeight="1" x14ac:dyDescent="0.3">
      <c r="B25" s="437" t="s">
        <v>902</v>
      </c>
      <c r="C25" s="437"/>
      <c r="D25" s="437"/>
      <c r="E25" s="437"/>
      <c r="G25" s="300"/>
    </row>
    <row r="26" spans="1:7" x14ac:dyDescent="0.3">
      <c r="C26" s="267"/>
      <c r="D26" s="269"/>
      <c r="E26" s="269"/>
      <c r="G26" s="300"/>
    </row>
    <row r="27" spans="1:7" x14ac:dyDescent="0.3">
      <c r="C27" s="267"/>
      <c r="D27" s="268"/>
      <c r="E27" s="268"/>
      <c r="G27" s="300"/>
    </row>
    <row r="28" spans="1:7" x14ac:dyDescent="0.3">
      <c r="C28" s="267"/>
      <c r="D28" s="268"/>
      <c r="E28" s="268"/>
      <c r="G28" s="300"/>
    </row>
    <row r="29" spans="1:7" x14ac:dyDescent="0.3">
      <c r="C29" s="267"/>
      <c r="D29" s="268"/>
      <c r="E29" s="268"/>
      <c r="G29" s="300"/>
    </row>
    <row r="30" spans="1:7" x14ac:dyDescent="0.3">
      <c r="C30" s="267"/>
      <c r="D30" s="268"/>
      <c r="E30" s="268"/>
      <c r="G30" s="300"/>
    </row>
    <row r="31" spans="1:7" x14ac:dyDescent="0.3">
      <c r="C31" s="267"/>
      <c r="D31" s="268"/>
      <c r="E31" s="268"/>
      <c r="G31" s="300"/>
    </row>
    <row r="32" spans="1:7" x14ac:dyDescent="0.3">
      <c r="C32" s="267"/>
      <c r="D32" s="268"/>
      <c r="E32" s="268"/>
      <c r="G32" s="300"/>
    </row>
    <row r="33" spans="3:5" x14ac:dyDescent="0.3">
      <c r="C33" s="62"/>
      <c r="D33" s="62"/>
      <c r="E33" s="62"/>
    </row>
    <row r="34" spans="3:5" x14ac:dyDescent="0.3">
      <c r="C34" s="62"/>
      <c r="D34" s="62"/>
      <c r="E34" s="62"/>
    </row>
  </sheetData>
  <sheetProtection algorithmName="SHA-512" hashValue="Dlpvuh6KSRKFKv9RiOn4U4BHtL2dr8XIC4hhorjMCznHGe9qcT5H39dUNPh2/rWhRcGjTBE7JXq/UbFMUTGDXA==" saltValue="Xc+VvPwfv2aA/3dIamNJfA==" spinCount="100000" sheet="1" objects="1" scenarios="1" formatRows="0"/>
  <mergeCells count="11">
    <mergeCell ref="B25:E25"/>
    <mergeCell ref="C21:E21"/>
    <mergeCell ref="A2:E2"/>
    <mergeCell ref="B15:E15"/>
    <mergeCell ref="B20:E20"/>
    <mergeCell ref="A4:E4"/>
    <mergeCell ref="A9:E9"/>
    <mergeCell ref="A7:E7"/>
    <mergeCell ref="B16:E16"/>
    <mergeCell ref="D17:E19"/>
    <mergeCell ref="A8:E8"/>
  </mergeCells>
  <conditionalFormatting sqref="A23:A34">
    <cfRule type="expression" dxfId="102" priority="5">
      <formula>AND($C23&lt;&gt;0,$C24=0)</formula>
    </cfRule>
    <cfRule type="expression" dxfId="101" priority="6">
      <formula>$C23&lt;&gt;0</formula>
    </cfRule>
  </conditionalFormatting>
  <conditionalFormatting sqref="B23:B34">
    <cfRule type="expression" dxfId="100" priority="8">
      <formula>AND($C23&lt;&gt;0,$C24=0)</formula>
    </cfRule>
  </conditionalFormatting>
  <conditionalFormatting sqref="C23:C24 C26:C32">
    <cfRule type="expression" dxfId="98" priority="1">
      <formula>$C23&lt;&gt;0</formula>
    </cfRule>
  </conditionalFormatting>
  <conditionalFormatting sqref="D22">
    <cfRule type="expression" dxfId="97" priority="2">
      <formula>$C22&lt;&gt;0</formula>
    </cfRule>
    <cfRule type="expression" dxfId="96" priority="111">
      <formula>$C26&lt;&gt;0</formula>
    </cfRule>
  </conditionalFormatting>
  <conditionalFormatting sqref="D23:D24 D26:D32">
    <cfRule type="expression" dxfId="95" priority="9">
      <formula>$C23&lt;&gt;0</formula>
    </cfRule>
  </conditionalFormatting>
  <conditionalFormatting sqref="E22">
    <cfRule type="expression" dxfId="94" priority="113">
      <formula>$C26&lt;&gt;0</formula>
    </cfRule>
  </conditionalFormatting>
  <conditionalFormatting sqref="E23:E24 E26:E32">
    <cfRule type="expression" dxfId="93" priority="11">
      <formula>$C23&lt;&gt;0</formula>
    </cfRule>
  </conditionalFormatting>
  <conditionalFormatting sqref="G2:G32">
    <cfRule type="expression" dxfId="92" priority="14">
      <formula>ISNUMBER(SEARCH("Klaida", G2))</formula>
    </cfRule>
  </conditionalFormatting>
  <dataValidations count="2">
    <dataValidation type="date" operator="greaterThan" allowBlank="1" showInputMessage="1" showErrorMessage="1" error="Įveskite datą formatu yyyy-mm-dd. Ji turi būti didesnė už verslo plano įgyvendinimo pradžios datą." prompt="Datos formatas: _x000a_yyyy-mm-dd" sqref="C18" xr:uid="{00000000-0002-0000-0000-000001000000}">
      <formula1>C17</formula1>
    </dataValidation>
    <dataValidation type="date" operator="greaterThan" allowBlank="1" showInputMessage="1" showErrorMessage="1" error="Įveskite datą formatu yyyy-mm-dd. Ji turi būti didesnė už galutinę paraiškos pateikimo datą." prompt="Datos formatas: _x000a_yyyy-mm-dd" sqref="C17" xr:uid="{00000000-0002-0000-0000-000000000000}">
      <formula1>$C$11</formula1>
    </dataValidation>
  </dataValidations>
  <printOptions horizontalCentered="1"/>
  <pageMargins left="1.1811023622047245" right="0.39370078740157483" top="0.78740157480314965" bottom="0.78740157480314965" header="0.31496062992125984" footer="0.31496062992125984"/>
  <pageSetup paperSize="9" scale="86" fitToHeight="0" orientation="portrait" blackAndWhite="1" r:id="rId1"/>
  <headerFooter>
    <oddFooter>&amp;C&amp;A - &amp;P</oddFooter>
  </headerFooter>
  <extLst>
    <ext xmlns:x14="http://schemas.microsoft.com/office/spreadsheetml/2009/9/main" uri="{78C0D931-6437-407d-A8EE-F0AAD7539E65}">
      <x14:conditionalFormattings>
        <x14:conditionalFormatting xmlns:xm="http://schemas.microsoft.com/office/excel/2006/main">
          <x14:cfRule type="expression" priority="46" id="{3C4BBEF7-AE6E-4215-871E-CC5473AF784B}">
            <xm:f>$C$11&gt;Parametrai!$C$13</xm:f>
            <x14:dxf>
              <font>
                <color rgb="FFC00000"/>
              </font>
              <fill>
                <patternFill>
                  <bgColor rgb="FFFFCDCD"/>
                </patternFill>
              </fill>
            </x14:dxf>
          </x14:cfRule>
          <xm:sqref>C11</xm:sqref>
        </x14:conditionalFormatting>
      </x14:conditionalFormattings>
    </ext>
    <ext xmlns:x14="http://schemas.microsoft.com/office/spreadsheetml/2009/9/main" uri="{CCE6A557-97BC-4b89-ADB6-D9C93CAAB3DF}">
      <x14:dataValidations xmlns:xm="http://schemas.microsoft.com/office/excel/2006/main" count="3">
        <x14:dataValidation type="list" allowBlank="1" showInputMessage="1" showErrorMessage="1" xr:uid="{00000000-0002-0000-0000-000003000000}">
          <x14:formula1>
            <xm:f>Konstantos!$A$14:$A$16</xm:f>
          </x14:formula1>
          <xm:sqref>C22</xm:sqref>
        </x14:dataValidation>
        <x14:dataValidation type="list" allowBlank="1" showInputMessage="1" showErrorMessage="1" xr:uid="{EEEFE40B-072D-4BC1-A702-5EE2B0FD2F7D}">
          <x14:formula1>
            <xm:f>Konstantos!$A$24:$A$27</xm:f>
          </x14:formula1>
          <xm:sqref>C21:E21</xm:sqref>
        </x14:dataValidation>
        <x14:dataValidation type="date" allowBlank="1" showInputMessage="1" showErrorMessage="1" error="Data negali būti mažesnė nei paraiškų priėmimo pradžios data ir didesnė už paraiškų priėmimo pabaigos datą" prompt="Datos formatas:_x000a_yyyy-mm-dd" xr:uid="{078DBC7B-AD87-4DCB-A542-710457B97138}">
          <x14:formula1>
            <xm:f>Parametrai!C12</xm:f>
          </x14:formula1>
          <x14:formula2>
            <xm:f>Parametrai!C13</xm:f>
          </x14:formula2>
          <xm:sqref>C11</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8756DE7-5D07-4DD4-9922-20F6FE779BDA}">
  <sheetPr codeName="Lapas6">
    <tabColor theme="9" tint="-0.249977111117893"/>
    <pageSetUpPr fitToPage="1"/>
  </sheetPr>
  <dimension ref="A1:M30"/>
  <sheetViews>
    <sheetView zoomScale="69" zoomScaleNormal="130" workbookViewId="0">
      <selection activeCell="M8" sqref="M8"/>
    </sheetView>
  </sheetViews>
  <sheetFormatPr defaultColWidth="8.88671875" defaultRowHeight="14.4" x14ac:dyDescent="0.3"/>
  <cols>
    <col min="1" max="1" width="8.109375" style="67" customWidth="1"/>
    <col min="2" max="2" width="32.33203125" style="67" customWidth="1"/>
    <col min="3" max="3" width="10.5546875" style="67" customWidth="1"/>
    <col min="4" max="4" width="9" style="67" customWidth="1"/>
    <col min="5" max="11" width="9" style="66" customWidth="1"/>
    <col min="12" max="12" width="4.44140625" style="66" customWidth="1"/>
    <col min="13" max="13" width="47.5546875" style="66" customWidth="1"/>
    <col min="14" max="16384" width="8.88671875" style="66"/>
  </cols>
  <sheetData>
    <row r="1" spans="1:13" s="62" customFormat="1" ht="14.85" customHeight="1" x14ac:dyDescent="0.3">
      <c r="A1" s="121" t="s">
        <v>6</v>
      </c>
      <c r="B1" s="463" t="s">
        <v>542</v>
      </c>
      <c r="C1" s="464"/>
      <c r="D1" s="464"/>
      <c r="E1" s="464"/>
      <c r="F1" s="464"/>
      <c r="G1" s="464"/>
      <c r="H1" s="464"/>
      <c r="I1" s="464"/>
      <c r="J1" s="464"/>
      <c r="K1" s="464"/>
      <c r="M1" s="299" t="s">
        <v>224</v>
      </c>
    </row>
    <row r="2" spans="1:13" s="62" customFormat="1" ht="144" customHeight="1" x14ac:dyDescent="0.3">
      <c r="A2" s="64" t="s">
        <v>181</v>
      </c>
      <c r="B2" s="64" t="s">
        <v>879</v>
      </c>
      <c r="C2" s="455"/>
      <c r="D2" s="455"/>
      <c r="E2" s="455"/>
      <c r="F2" s="455"/>
      <c r="G2" s="455"/>
      <c r="H2" s="455"/>
      <c r="I2" s="455"/>
      <c r="J2" s="455"/>
      <c r="K2" s="455"/>
      <c r="M2" s="302" t="s">
        <v>891</v>
      </c>
    </row>
    <row r="3" spans="1:13" s="62" customFormat="1" ht="43.5" customHeight="1" x14ac:dyDescent="0.3">
      <c r="A3" s="64" t="s">
        <v>182</v>
      </c>
      <c r="B3" s="64" t="s">
        <v>889</v>
      </c>
      <c r="C3" s="456"/>
      <c r="D3" s="457"/>
      <c r="E3" s="457"/>
      <c r="F3" s="457"/>
      <c r="G3" s="457"/>
      <c r="H3" s="457"/>
      <c r="I3" s="457"/>
      <c r="J3" s="457"/>
      <c r="K3" s="458"/>
      <c r="M3" s="302" t="s">
        <v>890</v>
      </c>
    </row>
    <row r="4" spans="1:13" s="62" customFormat="1" ht="174.75" customHeight="1" x14ac:dyDescent="0.3">
      <c r="A4" s="64" t="s">
        <v>888</v>
      </c>
      <c r="B4" s="64" t="s">
        <v>892</v>
      </c>
      <c r="C4" s="455"/>
      <c r="D4" s="455"/>
      <c r="E4" s="455"/>
      <c r="F4" s="455"/>
      <c r="G4" s="455"/>
      <c r="H4" s="455"/>
      <c r="I4" s="455"/>
      <c r="J4" s="455"/>
      <c r="K4" s="455"/>
      <c r="M4" s="303" t="s">
        <v>893</v>
      </c>
    </row>
    <row r="5" spans="1:13" s="62" customFormat="1" ht="9.6" customHeight="1" x14ac:dyDescent="0.3">
      <c r="M5" s="66"/>
    </row>
    <row r="6" spans="1:13" ht="30" customHeight="1" x14ac:dyDescent="0.3">
      <c r="A6" s="121" t="s">
        <v>7</v>
      </c>
      <c r="B6" s="478" t="s">
        <v>544</v>
      </c>
      <c r="C6" s="479"/>
      <c r="D6" s="479"/>
      <c r="E6" s="479"/>
      <c r="F6" s="479"/>
      <c r="G6" s="479"/>
      <c r="H6" s="479"/>
      <c r="I6" s="479"/>
      <c r="J6" s="479"/>
      <c r="K6" s="479"/>
    </row>
    <row r="7" spans="1:13" ht="14.85" customHeight="1" x14ac:dyDescent="0.3">
      <c r="A7" s="121" t="s">
        <v>183</v>
      </c>
      <c r="B7" s="443" t="s">
        <v>249</v>
      </c>
      <c r="C7" s="443"/>
      <c r="D7" s="443"/>
      <c r="E7" s="443"/>
      <c r="F7" s="443"/>
      <c r="G7" s="443"/>
      <c r="H7" s="443"/>
      <c r="I7" s="443"/>
      <c r="J7" s="443"/>
      <c r="K7" s="443"/>
    </row>
    <row r="8" spans="1:13" x14ac:dyDescent="0.3">
      <c r="A8" s="121" t="s">
        <v>221</v>
      </c>
      <c r="B8" s="476" t="s">
        <v>239</v>
      </c>
      <c r="C8" s="476"/>
      <c r="D8" s="476"/>
      <c r="E8" s="476"/>
      <c r="F8" s="476"/>
      <c r="G8" s="476"/>
      <c r="H8" s="476"/>
      <c r="I8" s="476"/>
      <c r="J8" s="476"/>
      <c r="K8" s="476"/>
      <c r="M8" s="269"/>
    </row>
    <row r="9" spans="1:13" ht="63" customHeight="1" x14ac:dyDescent="0.3">
      <c r="A9" s="481" t="s">
        <v>235</v>
      </c>
      <c r="B9" s="481"/>
      <c r="C9" s="481"/>
      <c r="D9" s="481"/>
      <c r="E9" s="481"/>
      <c r="F9" s="481"/>
      <c r="G9" s="481"/>
      <c r="H9" s="481"/>
      <c r="I9" s="481"/>
      <c r="J9" s="481"/>
      <c r="K9" s="481"/>
      <c r="M9" s="269"/>
    </row>
    <row r="10" spans="1:13" ht="30.6" customHeight="1" x14ac:dyDescent="0.3">
      <c r="A10" s="466" t="s">
        <v>21</v>
      </c>
      <c r="B10" s="468" t="s">
        <v>43</v>
      </c>
      <c r="C10" s="126" t="str">
        <f>IF(AND('1'!$C$22="Verslo pradžia",YEAR('1'!$E$22)=YEAR('1'!$C$11)),"Pradžios metai","Ataskaitiniai metai")</f>
        <v>Ataskaitiniai metai</v>
      </c>
      <c r="D10" s="470" t="s">
        <v>11</v>
      </c>
      <c r="E10" s="471"/>
      <c r="F10" s="471"/>
      <c r="G10" s="471"/>
      <c r="H10" s="471"/>
      <c r="I10" s="471"/>
      <c r="J10" s="471"/>
      <c r="K10" s="471"/>
      <c r="M10" s="269"/>
    </row>
    <row r="11" spans="1:13" ht="15" thickBot="1" x14ac:dyDescent="0.35">
      <c r="A11" s="467"/>
      <c r="B11" s="469"/>
      <c r="C11" s="364">
        <f>IF(C10="Pradžios metai",YEAR('1'!$E$22),IF((YEAR('1'!$C$11)-1)+COUNT(B11:$B11)&gt;YEAR('1'!$C$18)+Parametrai!$C$15,"-",(YEAR('1'!$C$11)-1)+COUNT(B11:$B11)))</f>
        <v>1899</v>
      </c>
      <c r="D11" s="364">
        <f>IF(D10="Pradžios metai",YEAR('1'!$E$22),IF((YEAR('1'!$C$11)-1)+COUNT($B11:C11)&gt;YEAR('1'!$C$18)+Parametrai!$C$15,"-",(YEAR('1'!$C$11)-1)+COUNT($B11:C11)))</f>
        <v>1900</v>
      </c>
      <c r="E11" s="364">
        <f>IF(E10="Pradžios metai",YEAR('1'!$E$22),IF((YEAR('1'!$C$11)-1)+COUNT($B11:D11)&gt;YEAR('1'!$C$18)+Parametrai!$C$15,"-",(YEAR('1'!$C$11)-1)+COUNT($B11:D11)))</f>
        <v>1901</v>
      </c>
      <c r="F11" s="364">
        <f>IF(F10="Pradžios metai",YEAR('1'!$E$22),IF((YEAR('1'!$C$11)-1)+COUNT($B11:E11)&gt;YEAR('1'!$C$18)+Parametrai!$C$15,"-",(YEAR('1'!$C$11)-1)+COUNT($B11:E11)))</f>
        <v>1902</v>
      </c>
      <c r="G11" s="364">
        <f>IF(G10="Pradžios metai",YEAR('1'!$E$22),IF((YEAR('1'!$C$11)-1)+COUNT($B11:F11)&gt;YEAR('1'!$C$18)+Parametrai!$C$15,"-",(YEAR('1'!$C$11)-1)+COUNT($B11:F11)))</f>
        <v>1903</v>
      </c>
      <c r="H11" s="364" t="str">
        <f>IF(H10="Pradžios metai",YEAR('1'!$E$22),IF((YEAR('1'!$C$11)-1)+COUNT($B11:G11)&gt;YEAR('1'!$C$18)+Parametrai!$C$15,"-",(YEAR('1'!$C$11)-1)+COUNT($B11:G11)))</f>
        <v>-</v>
      </c>
      <c r="I11" s="364" t="str">
        <f>IF(I10="Pradžios metai",YEAR('1'!$E$22),IF((YEAR('1'!$C$11)-1)+COUNT($B11:H11)&gt;YEAR('1'!$C$18)+Parametrai!$C$15,"-",(YEAR('1'!$C$11)-1)+COUNT($B11:H11)))</f>
        <v>-</v>
      </c>
      <c r="J11" s="364" t="str">
        <f>IF(J10="Pradžios metai",YEAR('1'!$E$22),IF((YEAR('1'!$C$11)-1)+COUNT($B11:I11)&gt;YEAR('1'!$C$18)+Parametrai!$C$15,"-",(YEAR('1'!$C$11)-1)+COUNT($B11:I11)))</f>
        <v>-</v>
      </c>
      <c r="K11" s="364" t="str">
        <f>IF(K10="Pradžios metai",YEAR('1'!$E$22),IF((YEAR('1'!$C$11)-1)+COUNT($B11:J11)&gt;YEAR('1'!$C$18)+Parametrai!$C$15,"-",(YEAR('1'!$C$11)-1)+COUNT($B11:J11)))</f>
        <v>-</v>
      </c>
      <c r="M11" s="269"/>
    </row>
    <row r="12" spans="1:13" ht="15" thickTop="1" x14ac:dyDescent="0.3">
      <c r="A12" s="68" t="s">
        <v>250</v>
      </c>
      <c r="B12" s="68" t="s">
        <v>241</v>
      </c>
      <c r="C12" s="321"/>
      <c r="D12" s="321"/>
      <c r="E12" s="321"/>
      <c r="F12" s="321"/>
      <c r="G12" s="321"/>
      <c r="H12" s="321"/>
      <c r="I12" s="321"/>
      <c r="J12" s="321"/>
      <c r="K12" s="321"/>
      <c r="M12" s="269"/>
    </row>
    <row r="13" spans="1:13" ht="28.8" x14ac:dyDescent="0.3">
      <c r="A13" s="64" t="s">
        <v>253</v>
      </c>
      <c r="B13" s="64" t="s">
        <v>240</v>
      </c>
      <c r="C13" s="365" t="str">
        <f>IFERROR(C14/C12,"-")</f>
        <v>-</v>
      </c>
      <c r="D13" s="322"/>
      <c r="E13" s="322"/>
      <c r="F13" s="322"/>
      <c r="G13" s="322"/>
      <c r="H13" s="322"/>
      <c r="I13" s="322"/>
      <c r="J13" s="322"/>
      <c r="K13" s="322"/>
      <c r="M13" s="269"/>
    </row>
    <row r="14" spans="1:13" ht="28.8" x14ac:dyDescent="0.3">
      <c r="A14" s="64" t="s">
        <v>254</v>
      </c>
      <c r="B14" s="64" t="s">
        <v>242</v>
      </c>
      <c r="C14" s="322"/>
      <c r="D14" s="366">
        <f>D12*D13</f>
        <v>0</v>
      </c>
      <c r="E14" s="366">
        <f t="shared" ref="E14:K14" si="0">E12*E13</f>
        <v>0</v>
      </c>
      <c r="F14" s="366">
        <f t="shared" si="0"/>
        <v>0</v>
      </c>
      <c r="G14" s="366">
        <f t="shared" si="0"/>
        <v>0</v>
      </c>
      <c r="H14" s="366">
        <f t="shared" si="0"/>
        <v>0</v>
      </c>
      <c r="I14" s="366">
        <f t="shared" si="0"/>
        <v>0</v>
      </c>
      <c r="J14" s="366">
        <f t="shared" si="0"/>
        <v>0</v>
      </c>
      <c r="K14" s="366">
        <f t="shared" si="0"/>
        <v>0</v>
      </c>
      <c r="M14" s="269" t="s">
        <v>847</v>
      </c>
    </row>
    <row r="15" spans="1:13" ht="29.4" thickBot="1" x14ac:dyDescent="0.35">
      <c r="A15" s="76" t="s">
        <v>255</v>
      </c>
      <c r="B15" s="76" t="s">
        <v>252</v>
      </c>
      <c r="C15" s="480"/>
      <c r="D15" s="480"/>
      <c r="E15" s="480"/>
      <c r="F15" s="480"/>
      <c r="G15" s="480"/>
      <c r="H15" s="480"/>
      <c r="I15" s="480"/>
      <c r="J15" s="480"/>
      <c r="K15" s="480"/>
      <c r="M15" s="300" t="s">
        <v>251</v>
      </c>
    </row>
    <row r="16" spans="1:13" ht="7.2" customHeight="1" thickTop="1" x14ac:dyDescent="0.3">
      <c r="B16" s="66"/>
      <c r="M16" s="269"/>
    </row>
    <row r="17" spans="1:13" ht="14.85" customHeight="1" x14ac:dyDescent="0.3">
      <c r="A17" s="121" t="s">
        <v>256</v>
      </c>
      <c r="B17" s="476" t="s">
        <v>248</v>
      </c>
      <c r="C17" s="476"/>
      <c r="D17" s="476"/>
      <c r="E17" s="476"/>
      <c r="F17" s="476"/>
      <c r="G17" s="476"/>
      <c r="H17" s="476"/>
      <c r="I17" s="476"/>
      <c r="J17" s="476"/>
      <c r="K17" s="476"/>
      <c r="M17" s="269"/>
    </row>
    <row r="18" spans="1:13" ht="40.950000000000003" customHeight="1" x14ac:dyDescent="0.3">
      <c r="A18" s="465" t="s">
        <v>848</v>
      </c>
      <c r="B18" s="465"/>
      <c r="C18" s="465"/>
      <c r="D18" s="465"/>
      <c r="E18" s="465"/>
      <c r="F18" s="465"/>
      <c r="G18" s="465"/>
      <c r="H18" s="465"/>
      <c r="I18" s="465"/>
      <c r="J18" s="465"/>
      <c r="K18" s="465"/>
      <c r="M18" s="269"/>
    </row>
    <row r="19" spans="1:13" ht="52.2" customHeight="1" thickBot="1" x14ac:dyDescent="0.35">
      <c r="A19" s="123" t="s">
        <v>21</v>
      </c>
      <c r="B19" s="124" t="s">
        <v>238</v>
      </c>
      <c r="C19" s="461" t="s">
        <v>237</v>
      </c>
      <c r="D19" s="461"/>
      <c r="E19" s="461" t="s">
        <v>243</v>
      </c>
      <c r="F19" s="461"/>
      <c r="G19" s="461"/>
      <c r="H19" s="461"/>
      <c r="I19" s="124" t="s">
        <v>247</v>
      </c>
      <c r="J19" s="461" t="s">
        <v>236</v>
      </c>
      <c r="K19" s="461"/>
      <c r="M19" s="269"/>
    </row>
    <row r="20" spans="1:13" ht="24.6" thickTop="1" x14ac:dyDescent="0.3">
      <c r="A20" s="255" t="s">
        <v>257</v>
      </c>
      <c r="B20" s="323"/>
      <c r="C20" s="477" t="s">
        <v>164</v>
      </c>
      <c r="D20" s="477"/>
      <c r="E20" s="485"/>
      <c r="F20" s="485"/>
      <c r="G20" s="485"/>
      <c r="H20" s="485"/>
      <c r="I20" s="326"/>
      <c r="J20" s="472"/>
      <c r="K20" s="473"/>
      <c r="M20" s="269" t="s">
        <v>849</v>
      </c>
    </row>
    <row r="21" spans="1:13" x14ac:dyDescent="0.3">
      <c r="A21" s="255" t="s">
        <v>258</v>
      </c>
      <c r="B21" s="324"/>
      <c r="C21" s="462" t="s">
        <v>164</v>
      </c>
      <c r="D21" s="462"/>
      <c r="E21" s="459"/>
      <c r="F21" s="459"/>
      <c r="G21" s="459"/>
      <c r="H21" s="459"/>
      <c r="I21" s="327"/>
      <c r="J21" s="474"/>
      <c r="K21" s="475"/>
      <c r="M21" s="269"/>
    </row>
    <row r="22" spans="1:13" x14ac:dyDescent="0.3">
      <c r="A22" s="255" t="s">
        <v>259</v>
      </c>
      <c r="B22" s="324"/>
      <c r="C22" s="462" t="s">
        <v>164</v>
      </c>
      <c r="D22" s="462"/>
      <c r="E22" s="459"/>
      <c r="F22" s="459"/>
      <c r="G22" s="459"/>
      <c r="H22" s="459"/>
      <c r="I22" s="327"/>
      <c r="J22" s="474"/>
      <c r="K22" s="475"/>
      <c r="M22" s="269"/>
    </row>
    <row r="23" spans="1:13" x14ac:dyDescent="0.3">
      <c r="A23" s="255" t="s">
        <v>260</v>
      </c>
      <c r="B23" s="324"/>
      <c r="C23" s="462" t="s">
        <v>164</v>
      </c>
      <c r="D23" s="462"/>
      <c r="E23" s="459"/>
      <c r="F23" s="459"/>
      <c r="G23" s="459"/>
      <c r="H23" s="459"/>
      <c r="I23" s="327"/>
      <c r="J23" s="474"/>
      <c r="K23" s="475"/>
      <c r="M23" s="269"/>
    </row>
    <row r="24" spans="1:13" x14ac:dyDescent="0.3">
      <c r="A24" s="255" t="s">
        <v>261</v>
      </c>
      <c r="B24" s="324"/>
      <c r="C24" s="462" t="s">
        <v>164</v>
      </c>
      <c r="D24" s="462"/>
      <c r="E24" s="459"/>
      <c r="F24" s="459"/>
      <c r="G24" s="459"/>
      <c r="H24" s="459"/>
      <c r="I24" s="327"/>
      <c r="J24" s="474"/>
      <c r="K24" s="475"/>
      <c r="M24" s="269"/>
    </row>
    <row r="25" spans="1:13" x14ac:dyDescent="0.3">
      <c r="A25" s="255" t="s">
        <v>262</v>
      </c>
      <c r="B25" s="324"/>
      <c r="C25" s="462" t="s">
        <v>164</v>
      </c>
      <c r="D25" s="462"/>
      <c r="E25" s="459"/>
      <c r="F25" s="459"/>
      <c r="G25" s="459"/>
      <c r="H25" s="459"/>
      <c r="I25" s="327"/>
      <c r="J25" s="474"/>
      <c r="K25" s="475"/>
      <c r="M25" s="269"/>
    </row>
    <row r="26" spans="1:13" ht="15" thickBot="1" x14ac:dyDescent="0.35">
      <c r="A26" s="256" t="s">
        <v>263</v>
      </c>
      <c r="B26" s="325"/>
      <c r="C26" s="484" t="s">
        <v>164</v>
      </c>
      <c r="D26" s="484"/>
      <c r="E26" s="460"/>
      <c r="F26" s="460"/>
      <c r="G26" s="460"/>
      <c r="H26" s="460"/>
      <c r="I26" s="328"/>
      <c r="J26" s="482"/>
      <c r="K26" s="483"/>
      <c r="M26" s="269"/>
    </row>
    <row r="27" spans="1:13" ht="15" thickTop="1" x14ac:dyDescent="0.3">
      <c r="A27" s="66"/>
      <c r="B27" s="66"/>
      <c r="C27" s="66"/>
      <c r="D27" s="66"/>
    </row>
    <row r="28" spans="1:13" x14ac:dyDescent="0.3">
      <c r="A28" s="121" t="s">
        <v>268</v>
      </c>
      <c r="B28" s="463" t="s">
        <v>234</v>
      </c>
      <c r="C28" s="464"/>
      <c r="D28" s="464"/>
      <c r="E28" s="464"/>
      <c r="F28" s="464"/>
      <c r="G28" s="464"/>
      <c r="H28" s="464"/>
      <c r="I28" s="464"/>
      <c r="J28" s="464"/>
      <c r="K28" s="464"/>
    </row>
    <row r="29" spans="1:13" ht="144" customHeight="1" x14ac:dyDescent="0.3">
      <c r="A29" s="64" t="s">
        <v>269</v>
      </c>
      <c r="B29" s="80" t="s">
        <v>272</v>
      </c>
      <c r="C29" s="455"/>
      <c r="D29" s="455"/>
      <c r="E29" s="455"/>
      <c r="F29" s="455"/>
      <c r="G29" s="455"/>
      <c r="H29" s="455"/>
      <c r="I29" s="455"/>
      <c r="J29" s="455"/>
      <c r="K29" s="455"/>
      <c r="M29" s="303" t="s">
        <v>850</v>
      </c>
    </row>
    <row r="30" spans="1:13" ht="144" customHeight="1" x14ac:dyDescent="0.3">
      <c r="A30" s="64" t="s">
        <v>270</v>
      </c>
      <c r="B30" s="80" t="s">
        <v>271</v>
      </c>
      <c r="C30" s="455"/>
      <c r="D30" s="455"/>
      <c r="E30" s="455"/>
      <c r="F30" s="455"/>
      <c r="G30" s="455"/>
      <c r="H30" s="455"/>
      <c r="I30" s="455"/>
      <c r="J30" s="455"/>
      <c r="K30" s="455"/>
      <c r="M30" s="304" t="s">
        <v>330</v>
      </c>
    </row>
  </sheetData>
  <sheetProtection algorithmName="SHA-512" hashValue="75Jz5c/OGggZTGizcyt4dWKFF3IaTU4FdQI39LnJBrfBbUXcFE8SJPfC2upx0qQqVSgBfTOUYeBlV6Q7UrvWEA==" saltValue="EQSFQ67DxoOziooappCcfw==" spinCount="100000" sheet="1" objects="1" scenarios="1" formatRows="0"/>
  <mergeCells count="41">
    <mergeCell ref="C29:K29"/>
    <mergeCell ref="C30:K30"/>
    <mergeCell ref="B6:K6"/>
    <mergeCell ref="B7:K7"/>
    <mergeCell ref="C15:K15"/>
    <mergeCell ref="A9:K9"/>
    <mergeCell ref="B28:K28"/>
    <mergeCell ref="J25:K25"/>
    <mergeCell ref="J26:K26"/>
    <mergeCell ref="C25:D25"/>
    <mergeCell ref="C26:D26"/>
    <mergeCell ref="C19:D19"/>
    <mergeCell ref="J19:K19"/>
    <mergeCell ref="E20:H20"/>
    <mergeCell ref="E21:H21"/>
    <mergeCell ref="E22:H22"/>
    <mergeCell ref="B1:K1"/>
    <mergeCell ref="A18:K18"/>
    <mergeCell ref="C24:D24"/>
    <mergeCell ref="A10:A11"/>
    <mergeCell ref="B10:B11"/>
    <mergeCell ref="D10:K10"/>
    <mergeCell ref="J20:K20"/>
    <mergeCell ref="J21:K21"/>
    <mergeCell ref="J22:K22"/>
    <mergeCell ref="J23:K23"/>
    <mergeCell ref="J24:K24"/>
    <mergeCell ref="B17:K17"/>
    <mergeCell ref="B8:K8"/>
    <mergeCell ref="E23:H23"/>
    <mergeCell ref="E24:H24"/>
    <mergeCell ref="C20:D20"/>
    <mergeCell ref="C2:K2"/>
    <mergeCell ref="C4:K4"/>
    <mergeCell ref="C3:K3"/>
    <mergeCell ref="E25:H25"/>
    <mergeCell ref="E26:H26"/>
    <mergeCell ref="E19:H19"/>
    <mergeCell ref="C21:D21"/>
    <mergeCell ref="C22:D22"/>
    <mergeCell ref="C23:D23"/>
  </mergeCells>
  <phoneticPr fontId="12" type="noConversion"/>
  <conditionalFormatting sqref="C11:K11">
    <cfRule type="expression" dxfId="91" priority="1">
      <formula>C11="-"</formula>
    </cfRule>
  </conditionalFormatting>
  <printOptions horizontalCentered="1"/>
  <pageMargins left="0.39370078740157483" right="0.39370078740157483" top="1.1811023622047245" bottom="0.78740157480314965" header="0.31496062992125984" footer="0.31496062992125984"/>
  <pageSetup paperSize="9" fitToHeight="0" orientation="landscape" blackAndWhite="1" r:id="rId1"/>
  <headerFooter>
    <oddFooter>&amp;C&amp;A - &amp;P</oddFooter>
  </headerFooter>
  <extLst>
    <ext xmlns:x14="http://schemas.microsoft.com/office/spreadsheetml/2009/9/main" uri="{78C0D931-6437-407d-A8EE-F0AAD7539E65}">
      <x14:conditionalFormattings>
        <x14:conditionalFormatting xmlns:xm="http://schemas.microsoft.com/office/excel/2006/main">
          <x14:cfRule type="expression" priority="2" id="{74869618-8BCE-4B02-AAE3-FB6D84781411}">
            <xm:f>AND(C11&gt;=YEAR(Parametrai!$C$13),C11&lt;=MIN(YEAR('1'!$C$18),YEAR(EOMONTH(Parametrai!$C$13,Parametrai!$C$14)),IF(Parametrai!$C$16&lt;&gt;0,YEAR(Parametrai!$C$16),YEAR(EOMONTH(Parametrai!$C$13,Parametrai!$C$14)))))</xm:f>
            <x14:dxf>
              <fill>
                <patternFill>
                  <bgColor rgb="FFFFF0D2"/>
                </patternFill>
              </fill>
            </x14:dxf>
          </x14:cfRule>
          <xm:sqref>C11:K11</xm:sqref>
        </x14:conditionalFormatting>
        <x14:conditionalFormatting xmlns:xm="http://schemas.microsoft.com/office/excel/2006/main">
          <x14:cfRule type="expression" priority="6" id="{5ABA0920-BE4E-4118-8AF1-9BD8196FAB2B}">
            <xm:f>$C20=Konstantos!$A$84</xm:f>
            <x14:dxf>
              <numFmt numFmtId="166" formatCode="0;\-0;&quot;-&quot;"/>
              <fill>
                <patternFill>
                  <bgColor theme="1" tint="0.499984740745262"/>
                </patternFill>
              </fill>
            </x14:dxf>
          </x14:cfRule>
          <xm:sqref>J20:K26</xm:sqref>
        </x14:conditionalFormatting>
      </x14:conditionalFormattings>
    </ext>
    <ext xmlns:x14="http://schemas.microsoft.com/office/spreadsheetml/2009/9/main" uri="{CCE6A557-97BC-4b89-ADB6-D9C93CAAB3DF}">
      <x14:dataValidations xmlns:xm="http://schemas.microsoft.com/office/excel/2006/main" count="1">
        <x14:dataValidation type="list" allowBlank="1" showInputMessage="1" showErrorMessage="1" xr:uid="{17515798-3EBA-4148-B650-9D45161661D5}">
          <x14:formula1>
            <xm:f>Konstantos!$A$83:$A$86</xm:f>
          </x14:formula1>
          <xm:sqref>C20:C26</xm:sqref>
        </x14:dataValidation>
      </x14:dataValidations>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Lapas7">
    <tabColor theme="9" tint="-0.249977111117893"/>
  </sheetPr>
  <dimension ref="A1:U86"/>
  <sheetViews>
    <sheetView zoomScale="110" zoomScaleNormal="110" workbookViewId="0">
      <pane xSplit="3" ySplit="5" topLeftCell="D74" activePane="bottomRight" state="frozen"/>
      <selection pane="topRight" activeCell="D1" sqref="D1"/>
      <selection pane="bottomLeft" activeCell="A6" sqref="A6"/>
      <selection pane="bottomRight" activeCell="D82" sqref="D82:L82"/>
    </sheetView>
  </sheetViews>
  <sheetFormatPr defaultColWidth="8.6640625" defaultRowHeight="14.4" x14ac:dyDescent="0.3"/>
  <cols>
    <col min="1" max="1" width="5.44140625" style="8" customWidth="1"/>
    <col min="2" max="2" width="32.6640625" style="8" customWidth="1"/>
    <col min="3" max="3" width="8.33203125" style="9" customWidth="1"/>
    <col min="4" max="4" width="11.109375" style="8" customWidth="1"/>
    <col min="5" max="5" width="8.33203125" style="8" customWidth="1"/>
    <col min="6" max="6" width="8.6640625" style="8" customWidth="1"/>
    <col min="7" max="7" width="8.33203125" style="8" customWidth="1"/>
    <col min="8" max="8" width="8.44140625" style="8" customWidth="1"/>
    <col min="9" max="10" width="8.5546875" style="8" customWidth="1"/>
    <col min="11" max="11" width="7.6640625" style="8" customWidth="1"/>
    <col min="12" max="12" width="7.88671875" style="8" customWidth="1"/>
    <col min="13" max="13" width="2" style="10" customWidth="1"/>
    <col min="14" max="14" width="50.44140625" style="298" customWidth="1"/>
    <col min="15" max="15" width="7.33203125" style="9" hidden="1" customWidth="1"/>
    <col min="16" max="16" width="7.33203125" style="11" hidden="1" customWidth="1"/>
    <col min="17" max="18" width="7.33203125" style="9" hidden="1" customWidth="1"/>
    <col min="19" max="19" width="7.33203125" hidden="1" customWidth="1"/>
    <col min="20" max="20" width="7.33203125" style="11" hidden="1" customWidth="1"/>
    <col min="21" max="16384" width="8.6640625" style="11"/>
  </cols>
  <sheetData>
    <row r="1" spans="1:20" ht="13.8" x14ac:dyDescent="0.3">
      <c r="N1" s="295" t="s">
        <v>224</v>
      </c>
      <c r="O1" s="83" t="s">
        <v>292</v>
      </c>
      <c r="P1" s="83" t="s">
        <v>293</v>
      </c>
      <c r="Q1" s="83">
        <v>1</v>
      </c>
      <c r="R1" s="83">
        <v>2</v>
      </c>
      <c r="S1" s="95">
        <v>3</v>
      </c>
      <c r="T1" s="93"/>
    </row>
    <row r="2" spans="1:20" s="7" customFormat="1" ht="13.8" x14ac:dyDescent="0.3">
      <c r="A2" s="125" t="s">
        <v>98</v>
      </c>
      <c r="B2" s="495" t="s">
        <v>37</v>
      </c>
      <c r="C2" s="495"/>
      <c r="D2" s="495"/>
      <c r="E2" s="495"/>
      <c r="F2" s="495"/>
      <c r="G2" s="495"/>
      <c r="H2" s="495"/>
      <c r="I2" s="495"/>
      <c r="J2" s="495"/>
      <c r="K2" s="495"/>
      <c r="L2" s="495"/>
      <c r="M2" s="6"/>
      <c r="N2" s="296"/>
      <c r="O2" s="82"/>
      <c r="P2" s="83"/>
      <c r="Q2" s="82"/>
      <c r="R2" s="82"/>
      <c r="S2" s="82"/>
      <c r="T2" s="94"/>
    </row>
    <row r="3" spans="1:20" ht="13.8" x14ac:dyDescent="0.3">
      <c r="N3" s="296"/>
      <c r="O3" s="83"/>
      <c r="P3" s="83"/>
      <c r="Q3" s="82"/>
      <c r="R3" s="83"/>
      <c r="S3" s="95"/>
      <c r="T3" s="93"/>
    </row>
    <row r="4" spans="1:20" ht="22.8" x14ac:dyDescent="0.3">
      <c r="A4" s="496" t="s">
        <v>9</v>
      </c>
      <c r="B4" s="497"/>
      <c r="C4" s="500" t="s">
        <v>10</v>
      </c>
      <c r="D4" s="126" t="str">
        <f>IF(AND('1'!$C$22="Verslo pradžia",YEAR('1'!$E$22)=YEAR('1'!$C$11)),"Pradžios metai","Ataskaitiniai metai")</f>
        <v>Ataskaitiniai metai</v>
      </c>
      <c r="E4" s="470" t="s">
        <v>11</v>
      </c>
      <c r="F4" s="471"/>
      <c r="G4" s="471"/>
      <c r="H4" s="471"/>
      <c r="I4" s="471"/>
      <c r="J4" s="471"/>
      <c r="K4" s="471"/>
      <c r="L4" s="471"/>
      <c r="M4" s="12"/>
      <c r="N4" s="296"/>
      <c r="O4" s="83"/>
      <c r="P4" s="83"/>
      <c r="Q4" s="82"/>
      <c r="R4" s="83"/>
      <c r="S4" s="95"/>
      <c r="T4" s="93"/>
    </row>
    <row r="5" spans="1:20" thickBot="1" x14ac:dyDescent="0.35">
      <c r="A5" s="498"/>
      <c r="B5" s="499"/>
      <c r="C5" s="501"/>
      <c r="D5" s="364">
        <f>IF(D4="Pradžios metai",YEAR('1'!$E$22),IF((YEAR('1'!$C$11)-1)+COUNT($C5:C5)&gt;YEAR('1'!$C$18)+Parametrai!$C$15,"-",(YEAR('1'!$C$11)-1)+COUNT($C5:C5)))</f>
        <v>1899</v>
      </c>
      <c r="E5" s="364">
        <f>IF(E4="Pradžios metai",YEAR('1'!$E$22),IF((YEAR('1'!$C$11)-1)+COUNT($C5:D5)&gt;YEAR('1'!$C$18)+Parametrai!$C$15,"-",(YEAR('1'!$C$11)-1)+COUNT($C5:D5)))</f>
        <v>1900</v>
      </c>
      <c r="F5" s="364">
        <f>IF(F4="Pradžios metai",YEAR('1'!$E$22),IF((YEAR('1'!$C$11)-1)+COUNT($C5:E5)&gt;YEAR('1'!$C$18)+Parametrai!$C$15,"-",(YEAR('1'!$C$11)-1)+COUNT($C5:E5)))</f>
        <v>1901</v>
      </c>
      <c r="G5" s="364">
        <f>IF(G4="Pradžios metai",YEAR('1'!$E$22),IF((YEAR('1'!$C$11)-1)+COUNT($C5:F5)&gt;YEAR('1'!$C$18)+Parametrai!$C$15,"-",(YEAR('1'!$C$11)-1)+COUNT($C5:F5)))</f>
        <v>1902</v>
      </c>
      <c r="H5" s="364">
        <f>IF(H4="Pradžios metai",YEAR('1'!$E$22),IF((YEAR('1'!$C$11)-1)+COUNT($C5:G5)&gt;YEAR('1'!$C$18)+Parametrai!$C$15,"-",(YEAR('1'!$C$11)-1)+COUNT($C5:G5)))</f>
        <v>1903</v>
      </c>
      <c r="I5" s="364" t="str">
        <f>IF(I4="Pradžios metai",YEAR('1'!$E$22),IF((YEAR('1'!$C$11)-1)+COUNT($C5:H5)&gt;YEAR('1'!$C$18)+Parametrai!$C$15,"-",(YEAR('1'!$C$11)-1)+COUNT($C5:H5)))</f>
        <v>-</v>
      </c>
      <c r="J5" s="364" t="str">
        <f>IF(J4="Pradžios metai",YEAR('1'!$E$22),IF((YEAR('1'!$C$11)-1)+COUNT($C5:I5)&gt;YEAR('1'!$C$18)+Parametrai!$C$15,"-",(YEAR('1'!$C$11)-1)+COUNT($C5:I5)))</f>
        <v>-</v>
      </c>
      <c r="K5" s="364" t="str">
        <f>IF(K4="Pradžios metai",YEAR('1'!$E$22),IF((YEAR('1'!$C$11)-1)+COUNT($C5:J5)&gt;YEAR('1'!$C$18)+Parametrai!$C$15,"-",(YEAR('1'!$C$11)-1)+COUNT($C5:J5)))</f>
        <v>-</v>
      </c>
      <c r="L5" s="364" t="str">
        <f>IF(L4="Pradžios metai",YEAR('1'!$E$22),IF((YEAR('1'!$C$11)-1)+COUNT($C5:K5)&gt;YEAR('1'!$C$18)+Parametrai!$C$15,"-",(YEAR('1'!$C$11)-1)+COUNT($C5:K5)))</f>
        <v>-</v>
      </c>
      <c r="N5" s="296"/>
      <c r="O5" s="83"/>
      <c r="P5" s="100">
        <v>4</v>
      </c>
      <c r="Q5" s="82"/>
      <c r="R5" s="83"/>
      <c r="S5" s="95"/>
      <c r="T5" s="93"/>
    </row>
    <row r="6" spans="1:20" thickTop="1" x14ac:dyDescent="0.3">
      <c r="A6" s="189" t="str">
        <f>_xlfn.CONCAT($P6, ".", $Q6, IF($R6&lt;&gt;"", _xlfn.CONCAT(".", $R6), ""), ".")</f>
        <v>4.1.</v>
      </c>
      <c r="B6" s="189" t="s">
        <v>13</v>
      </c>
      <c r="C6" s="190" t="s">
        <v>14</v>
      </c>
      <c r="D6" s="191">
        <f>SUM(D7:D9)</f>
        <v>0</v>
      </c>
      <c r="E6" s="191">
        <f t="shared" ref="E6:L6" si="0">SUM(E7:E9)</f>
        <v>0</v>
      </c>
      <c r="F6" s="191">
        <f t="shared" si="0"/>
        <v>0</v>
      </c>
      <c r="G6" s="191">
        <f t="shared" si="0"/>
        <v>0</v>
      </c>
      <c r="H6" s="191">
        <f t="shared" si="0"/>
        <v>0</v>
      </c>
      <c r="I6" s="191">
        <f t="shared" si="0"/>
        <v>0</v>
      </c>
      <c r="J6" s="191">
        <f t="shared" si="0"/>
        <v>0</v>
      </c>
      <c r="K6" s="191">
        <f t="shared" si="0"/>
        <v>0</v>
      </c>
      <c r="L6" s="191">
        <f t="shared" si="0"/>
        <v>0</v>
      </c>
      <c r="N6" s="296"/>
      <c r="O6" s="96">
        <v>1</v>
      </c>
      <c r="P6" s="83">
        <f>+P5</f>
        <v>4</v>
      </c>
      <c r="Q6" s="83">
        <f>COUNTIFS($O$1:$O6,1)</f>
        <v>1</v>
      </c>
      <c r="R6" s="83" t="str">
        <f>IF($O6=$R$1,IF($O6&lt;&gt;$O5, 1, R5+1),"")</f>
        <v/>
      </c>
      <c r="S6" s="83"/>
      <c r="T6" s="93" t="str">
        <f>CONCATENATE($P6, ".", $Q6, IF($R6&lt;&gt;"", CONCATENATE(".", $R6), ""), ".")</f>
        <v>4.1.</v>
      </c>
    </row>
    <row r="7" spans="1:20" ht="13.8" x14ac:dyDescent="0.3">
      <c r="A7" s="127" t="str">
        <f>_xlfn.CONCAT($P7, ".", $Q7, IF($R7&lt;&gt;"", _xlfn.CONCAT(".", $R7), ""), ".")</f>
        <v>4.1.1.</v>
      </c>
      <c r="B7" s="128" t="s">
        <v>280</v>
      </c>
      <c r="C7" s="129" t="s">
        <v>14</v>
      </c>
      <c r="D7" s="173">
        <f t="shared" ref="D7:L7" si="1">SUMIFS(D:D,$B:$B,"Pajamos (gamyba)")</f>
        <v>0</v>
      </c>
      <c r="E7" s="173">
        <f t="shared" si="1"/>
        <v>0</v>
      </c>
      <c r="F7" s="173">
        <f t="shared" si="1"/>
        <v>0</v>
      </c>
      <c r="G7" s="173">
        <f t="shared" si="1"/>
        <v>0</v>
      </c>
      <c r="H7" s="173">
        <f t="shared" si="1"/>
        <v>0</v>
      </c>
      <c r="I7" s="173">
        <f t="shared" si="1"/>
        <v>0</v>
      </c>
      <c r="J7" s="173">
        <f t="shared" si="1"/>
        <v>0</v>
      </c>
      <c r="K7" s="173">
        <f t="shared" si="1"/>
        <v>0</v>
      </c>
      <c r="L7" s="173">
        <f t="shared" si="1"/>
        <v>0</v>
      </c>
      <c r="N7" s="296"/>
      <c r="O7" s="96">
        <v>2</v>
      </c>
      <c r="P7" s="83">
        <f>+P6</f>
        <v>4</v>
      </c>
      <c r="Q7" s="83">
        <f>COUNTIFS($O$1:$O7,1)</f>
        <v>1</v>
      </c>
      <c r="R7" s="83">
        <f t="shared" ref="R7:R16" si="2">IF($O7=$R$1,IF($O7&lt;&gt;$O6, 1, R6+1),"")</f>
        <v>1</v>
      </c>
      <c r="S7" s="83"/>
      <c r="T7" s="93" t="str">
        <f t="shared" ref="T7:T70" si="3">CONCATENATE($P7, ".", $Q7, IF($R7&lt;&gt;"", CONCATENATE(".", $R7), ""), ".")</f>
        <v>4.1.1.</v>
      </c>
    </row>
    <row r="8" spans="1:20" ht="13.8" x14ac:dyDescent="0.3">
      <c r="A8" s="127" t="str">
        <f>_xlfn.CONCAT($P8, ".", $Q8, IF($R8&lt;&gt;"", _xlfn.CONCAT(".", $R8), ""), ".")</f>
        <v>4.1.2.</v>
      </c>
      <c r="B8" s="128" t="s">
        <v>281</v>
      </c>
      <c r="C8" s="129" t="s">
        <v>14</v>
      </c>
      <c r="D8" s="174">
        <f t="shared" ref="D8:L8" si="4">SUMIFS(D:D,$B:$B,"Pajamos (paslaugos)")</f>
        <v>0</v>
      </c>
      <c r="E8" s="174">
        <f t="shared" si="4"/>
        <v>0</v>
      </c>
      <c r="F8" s="174">
        <f t="shared" si="4"/>
        <v>0</v>
      </c>
      <c r="G8" s="174">
        <f t="shared" si="4"/>
        <v>0</v>
      </c>
      <c r="H8" s="174">
        <f t="shared" si="4"/>
        <v>0</v>
      </c>
      <c r="I8" s="174">
        <f t="shared" si="4"/>
        <v>0</v>
      </c>
      <c r="J8" s="174">
        <f t="shared" si="4"/>
        <v>0</v>
      </c>
      <c r="K8" s="174">
        <f t="shared" si="4"/>
        <v>0</v>
      </c>
      <c r="L8" s="174">
        <f t="shared" si="4"/>
        <v>0</v>
      </c>
      <c r="N8" s="296"/>
      <c r="O8" s="96">
        <v>2</v>
      </c>
      <c r="P8" s="83">
        <f t="shared" ref="P8:P16" si="5">+P7</f>
        <v>4</v>
      </c>
      <c r="Q8" s="83">
        <f>COUNTIFS($O$1:$O8,1)</f>
        <v>1</v>
      </c>
      <c r="R8" s="83">
        <f t="shared" si="2"/>
        <v>2</v>
      </c>
      <c r="S8" s="83"/>
      <c r="T8" s="93" t="str">
        <f t="shared" si="3"/>
        <v>4.1.2.</v>
      </c>
    </row>
    <row r="9" spans="1:20" thickBot="1" x14ac:dyDescent="0.35">
      <c r="A9" s="130" t="str">
        <f>_xlfn.CONCAT($P9, ".", $Q9, IF($R9&lt;&gt;"", _xlfn.CONCAT(".", $R9), ""), ".")</f>
        <v>4.1.3.</v>
      </c>
      <c r="B9" s="131" t="s">
        <v>282</v>
      </c>
      <c r="C9" s="132" t="s">
        <v>14</v>
      </c>
      <c r="D9" s="175">
        <f t="shared" ref="D9:L9" si="6">SUMIFS(D:D,$B:$B,"Pajamos (kita veikla)")</f>
        <v>0</v>
      </c>
      <c r="E9" s="175">
        <f t="shared" si="6"/>
        <v>0</v>
      </c>
      <c r="F9" s="175">
        <f t="shared" si="6"/>
        <v>0</v>
      </c>
      <c r="G9" s="175">
        <f t="shared" si="6"/>
        <v>0</v>
      </c>
      <c r="H9" s="175">
        <f t="shared" si="6"/>
        <v>0</v>
      </c>
      <c r="I9" s="175">
        <f t="shared" si="6"/>
        <v>0</v>
      </c>
      <c r="J9" s="175">
        <f t="shared" si="6"/>
        <v>0</v>
      </c>
      <c r="K9" s="175">
        <f t="shared" si="6"/>
        <v>0</v>
      </c>
      <c r="L9" s="175">
        <f t="shared" si="6"/>
        <v>0</v>
      </c>
      <c r="N9" s="296"/>
      <c r="O9" s="96">
        <v>2</v>
      </c>
      <c r="P9" s="83">
        <f t="shared" si="5"/>
        <v>4</v>
      </c>
      <c r="Q9" s="83">
        <f>COUNTIFS($O$1:$O9,1)</f>
        <v>1</v>
      </c>
      <c r="R9" s="83">
        <f t="shared" si="2"/>
        <v>3</v>
      </c>
      <c r="S9" s="83"/>
      <c r="T9" s="93" t="str">
        <f t="shared" si="3"/>
        <v>4.1.3.</v>
      </c>
    </row>
    <row r="10" spans="1:20" thickTop="1" x14ac:dyDescent="0.3">
      <c r="A10" s="57" t="str">
        <f>CONCATENATE($P10, ".", $Q10, IF($R10&lt;&gt;"", CONCATENATE(".", $R10), ""), ".")</f>
        <v>4.2.</v>
      </c>
      <c r="B10" s="188" t="s">
        <v>289</v>
      </c>
      <c r="C10" s="90"/>
      <c r="D10" s="502"/>
      <c r="E10" s="502"/>
      <c r="F10" s="502"/>
      <c r="G10" s="502"/>
      <c r="H10" s="502"/>
      <c r="I10" s="502"/>
      <c r="J10" s="502"/>
      <c r="K10" s="502"/>
      <c r="L10" s="502"/>
      <c r="N10" s="296" t="s">
        <v>851</v>
      </c>
      <c r="O10" s="96">
        <v>1</v>
      </c>
      <c r="P10" s="83">
        <f t="shared" si="5"/>
        <v>4</v>
      </c>
      <c r="Q10" s="83">
        <f>COUNTIFS($O$1:$O10,1)</f>
        <v>2</v>
      </c>
      <c r="R10" s="83" t="str">
        <f t="shared" si="2"/>
        <v/>
      </c>
      <c r="S10" s="83"/>
      <c r="T10" s="93" t="str">
        <f t="shared" si="3"/>
        <v>4.2.</v>
      </c>
    </row>
    <row r="11" spans="1:20" ht="13.8" x14ac:dyDescent="0.3">
      <c r="A11" s="48" t="str">
        <f>CONCATENATE($P11, ".", $Q11, IF($R11&lt;&gt;"", CONCATENATE(".", $R11), ""), ".")</f>
        <v>4.2.1.</v>
      </c>
      <c r="B11" s="98" t="s">
        <v>285</v>
      </c>
      <c r="C11" s="89"/>
      <c r="D11" s="490"/>
      <c r="E11" s="490"/>
      <c r="F11" s="490"/>
      <c r="G11" s="490"/>
      <c r="H11" s="490"/>
      <c r="I11" s="490"/>
      <c r="J11" s="490"/>
      <c r="K11" s="490"/>
      <c r="L11" s="490"/>
      <c r="N11" s="296" t="s">
        <v>852</v>
      </c>
      <c r="O11" s="96">
        <v>2</v>
      </c>
      <c r="P11" s="83">
        <f t="shared" si="5"/>
        <v>4</v>
      </c>
      <c r="Q11" s="83">
        <f>COUNTIFS($O$1:$O11,1)</f>
        <v>2</v>
      </c>
      <c r="R11" s="83">
        <f t="shared" si="2"/>
        <v>1</v>
      </c>
      <c r="S11" s="83"/>
      <c r="T11" s="93" t="str">
        <f t="shared" si="3"/>
        <v>4.2.1.</v>
      </c>
    </row>
    <row r="12" spans="1:20" ht="13.8" x14ac:dyDescent="0.3">
      <c r="A12" s="48" t="str">
        <f t="shared" ref="A12:A75" si="7">CONCATENATE($P12, ".", $Q12, IF($R12&lt;&gt;"", CONCATENATE(".", $R12), ""), ".")</f>
        <v>4.2.2.</v>
      </c>
      <c r="B12" s="22" t="s">
        <v>16</v>
      </c>
      <c r="C12" s="317" t="s">
        <v>19</v>
      </c>
      <c r="D12" s="329"/>
      <c r="E12" s="329"/>
      <c r="F12" s="329"/>
      <c r="G12" s="329"/>
      <c r="H12" s="329"/>
      <c r="I12" s="329"/>
      <c r="J12" s="329"/>
      <c r="K12" s="329"/>
      <c r="L12" s="329"/>
      <c r="N12" s="297" t="s">
        <v>853</v>
      </c>
      <c r="O12" s="96">
        <v>2</v>
      </c>
      <c r="P12" s="83">
        <f t="shared" si="5"/>
        <v>4</v>
      </c>
      <c r="Q12" s="83">
        <f>COUNTIFS($O$1:$O12,1)</f>
        <v>2</v>
      </c>
      <c r="R12" s="83">
        <f t="shared" si="2"/>
        <v>2</v>
      </c>
      <c r="S12" s="83"/>
      <c r="T12" s="93" t="str">
        <f t="shared" si="3"/>
        <v>4.2.2.</v>
      </c>
    </row>
    <row r="13" spans="1:20" ht="13.8" x14ac:dyDescent="0.3">
      <c r="A13" s="48" t="str">
        <f t="shared" si="7"/>
        <v>4.2.3.</v>
      </c>
      <c r="B13" s="22" t="s">
        <v>17</v>
      </c>
      <c r="C13" s="58" t="str">
        <f>+C12</f>
        <v>vnt.</v>
      </c>
      <c r="D13" s="329"/>
      <c r="E13" s="329"/>
      <c r="F13" s="329"/>
      <c r="G13" s="329"/>
      <c r="H13" s="329"/>
      <c r="I13" s="329"/>
      <c r="J13" s="329"/>
      <c r="K13" s="329"/>
      <c r="L13" s="329"/>
      <c r="N13" s="296" t="s">
        <v>854</v>
      </c>
      <c r="O13" s="96">
        <v>2</v>
      </c>
      <c r="P13" s="83">
        <f t="shared" si="5"/>
        <v>4</v>
      </c>
      <c r="Q13" s="83">
        <f>COUNTIFS($O$1:$O13,1)</f>
        <v>2</v>
      </c>
      <c r="R13" s="83">
        <f t="shared" si="2"/>
        <v>3</v>
      </c>
      <c r="S13" s="83"/>
      <c r="T13" s="93" t="str">
        <f t="shared" si="3"/>
        <v>4.2.3.</v>
      </c>
    </row>
    <row r="14" spans="1:20" ht="13.8" x14ac:dyDescent="0.3">
      <c r="A14" s="48" t="str">
        <f t="shared" si="7"/>
        <v>4.2.4.</v>
      </c>
      <c r="B14" s="22" t="s">
        <v>18</v>
      </c>
      <c r="C14" s="14" t="str">
        <f>CONCATENATE("Eur/",C13)</f>
        <v>Eur/vnt.</v>
      </c>
      <c r="D14" s="367" t="str">
        <f>IFERROR(ROUND(D15/D13,2),"-")</f>
        <v>-</v>
      </c>
      <c r="E14" s="330"/>
      <c r="F14" s="330"/>
      <c r="G14" s="330"/>
      <c r="H14" s="330"/>
      <c r="I14" s="330"/>
      <c r="J14" s="330"/>
      <c r="K14" s="330"/>
      <c r="L14" s="330"/>
      <c r="N14" s="296" t="s">
        <v>855</v>
      </c>
      <c r="O14" s="96">
        <v>2</v>
      </c>
      <c r="P14" s="83">
        <f t="shared" si="5"/>
        <v>4</v>
      </c>
      <c r="Q14" s="83">
        <f>COUNTIFS($O$1:$O14,1)</f>
        <v>2</v>
      </c>
      <c r="R14" s="83">
        <f t="shared" si="2"/>
        <v>4</v>
      </c>
      <c r="S14" s="83"/>
      <c r="T14" s="93" t="str">
        <f t="shared" si="3"/>
        <v>4.2.4.</v>
      </c>
    </row>
    <row r="15" spans="1:20" ht="13.8" x14ac:dyDescent="0.3">
      <c r="A15" s="48" t="str">
        <f t="shared" si="7"/>
        <v>4.2.5.</v>
      </c>
      <c r="B15" s="22" t="s">
        <v>286</v>
      </c>
      <c r="C15" s="14" t="s">
        <v>14</v>
      </c>
      <c r="D15" s="329"/>
      <c r="E15" s="368">
        <f t="shared" ref="E15:L15" si="8">ROUND(E13*E14,0)</f>
        <v>0</v>
      </c>
      <c r="F15" s="368">
        <f t="shared" si="8"/>
        <v>0</v>
      </c>
      <c r="G15" s="368">
        <f t="shared" si="8"/>
        <v>0</v>
      </c>
      <c r="H15" s="368">
        <f t="shared" si="8"/>
        <v>0</v>
      </c>
      <c r="I15" s="368">
        <f t="shared" si="8"/>
        <v>0</v>
      </c>
      <c r="J15" s="368">
        <f t="shared" si="8"/>
        <v>0</v>
      </c>
      <c r="K15" s="368">
        <f t="shared" si="8"/>
        <v>0</v>
      </c>
      <c r="L15" s="368">
        <f t="shared" si="8"/>
        <v>0</v>
      </c>
      <c r="N15" s="296"/>
      <c r="O15" s="96">
        <v>2</v>
      </c>
      <c r="P15" s="83">
        <f t="shared" si="5"/>
        <v>4</v>
      </c>
      <c r="Q15" s="83">
        <f>COUNTIFS($O$1:$O15,1)</f>
        <v>2</v>
      </c>
      <c r="R15" s="83">
        <f t="shared" si="2"/>
        <v>5</v>
      </c>
      <c r="S15" s="83"/>
      <c r="T15" s="93" t="str">
        <f t="shared" si="3"/>
        <v>4.2.5.</v>
      </c>
    </row>
    <row r="16" spans="1:20" ht="30" customHeight="1" thickBot="1" x14ac:dyDescent="0.35">
      <c r="A16" s="99" t="str">
        <f t="shared" si="7"/>
        <v>4.2.6.</v>
      </c>
      <c r="B16" s="91" t="s">
        <v>294</v>
      </c>
      <c r="C16" s="92"/>
      <c r="D16" s="486"/>
      <c r="E16" s="486"/>
      <c r="F16" s="486"/>
      <c r="G16" s="486"/>
      <c r="H16" s="486"/>
      <c r="I16" s="486"/>
      <c r="J16" s="486"/>
      <c r="K16" s="486"/>
      <c r="L16" s="486"/>
      <c r="N16" s="296" t="s">
        <v>856</v>
      </c>
      <c r="O16" s="96">
        <v>2</v>
      </c>
      <c r="P16" s="83">
        <f t="shared" si="5"/>
        <v>4</v>
      </c>
      <c r="Q16" s="83">
        <f>COUNTIFS($O$1:$O16,1)</f>
        <v>2</v>
      </c>
      <c r="R16" s="83">
        <f t="shared" si="2"/>
        <v>6</v>
      </c>
      <c r="S16" s="83"/>
      <c r="T16" s="93" t="str">
        <f t="shared" si="3"/>
        <v>4.2.6.</v>
      </c>
    </row>
    <row r="17" spans="1:21" ht="13.8" x14ac:dyDescent="0.3">
      <c r="A17" s="57" t="str">
        <f t="shared" si="7"/>
        <v>4.3.</v>
      </c>
      <c r="B17" s="188" t="s">
        <v>289</v>
      </c>
      <c r="C17" s="90"/>
      <c r="D17" s="491"/>
      <c r="E17" s="488"/>
      <c r="F17" s="488"/>
      <c r="G17" s="488"/>
      <c r="H17" s="488"/>
      <c r="I17" s="488"/>
      <c r="J17" s="488"/>
      <c r="K17" s="488"/>
      <c r="L17" s="488"/>
      <c r="N17" s="296" t="s">
        <v>851</v>
      </c>
      <c r="O17" s="96">
        <v>1</v>
      </c>
      <c r="P17" s="83">
        <f t="shared" ref="P17:P50" si="9">+P16</f>
        <v>4</v>
      </c>
      <c r="Q17" s="83">
        <f>COUNTIFS($O$1:$O17,1)</f>
        <v>3</v>
      </c>
      <c r="R17" s="83" t="str">
        <f t="shared" ref="R17:R48" si="10">IF($O17=$R$1,IF($O17&lt;&gt;$O16, 1, R16+1),"")</f>
        <v/>
      </c>
      <c r="S17" s="83"/>
      <c r="T17" s="93" t="str">
        <f t="shared" si="3"/>
        <v>4.3.</v>
      </c>
    </row>
    <row r="18" spans="1:21" ht="13.8" x14ac:dyDescent="0.3">
      <c r="A18" s="48" t="str">
        <f t="shared" si="7"/>
        <v>4.3.1.</v>
      </c>
      <c r="B18" s="98" t="s">
        <v>285</v>
      </c>
      <c r="C18" s="89"/>
      <c r="D18" s="492"/>
      <c r="E18" s="487"/>
      <c r="F18" s="487"/>
      <c r="G18" s="487"/>
      <c r="H18" s="487"/>
      <c r="I18" s="487"/>
      <c r="J18" s="487"/>
      <c r="K18" s="487"/>
      <c r="L18" s="487"/>
      <c r="N18" s="296" t="s">
        <v>852</v>
      </c>
      <c r="O18" s="96">
        <v>2</v>
      </c>
      <c r="P18" s="83">
        <f t="shared" si="9"/>
        <v>4</v>
      </c>
      <c r="Q18" s="83">
        <f>COUNTIFS($O$1:$O18,1)</f>
        <v>3</v>
      </c>
      <c r="R18" s="83">
        <f t="shared" si="10"/>
        <v>1</v>
      </c>
      <c r="S18" s="83"/>
      <c r="T18" s="93" t="str">
        <f t="shared" si="3"/>
        <v>4.3.1.</v>
      </c>
    </row>
    <row r="19" spans="1:21" ht="13.8" x14ac:dyDescent="0.3">
      <c r="A19" s="48" t="str">
        <f t="shared" si="7"/>
        <v>4.3.2.</v>
      </c>
      <c r="B19" s="13" t="s">
        <v>16</v>
      </c>
      <c r="C19" s="317" t="s">
        <v>19</v>
      </c>
      <c r="D19" s="329"/>
      <c r="E19" s="329"/>
      <c r="F19" s="329"/>
      <c r="G19" s="329"/>
      <c r="H19" s="329"/>
      <c r="I19" s="329"/>
      <c r="J19" s="329"/>
      <c r="K19" s="329"/>
      <c r="L19" s="329"/>
      <c r="N19" s="297" t="s">
        <v>853</v>
      </c>
      <c r="O19" s="96">
        <v>2</v>
      </c>
      <c r="P19" s="83">
        <f t="shared" si="9"/>
        <v>4</v>
      </c>
      <c r="Q19" s="83">
        <f>COUNTIFS($O$1:$O19,1)</f>
        <v>3</v>
      </c>
      <c r="R19" s="83">
        <f t="shared" si="10"/>
        <v>2</v>
      </c>
      <c r="S19" s="83"/>
      <c r="T19" s="93" t="str">
        <f t="shared" si="3"/>
        <v>4.3.2.</v>
      </c>
    </row>
    <row r="20" spans="1:21" ht="13.8" x14ac:dyDescent="0.3">
      <c r="A20" s="48" t="str">
        <f t="shared" si="7"/>
        <v>4.3.3.</v>
      </c>
      <c r="B20" s="13" t="s">
        <v>17</v>
      </c>
      <c r="C20" s="58" t="str">
        <f>+C19</f>
        <v>vnt.</v>
      </c>
      <c r="D20" s="329"/>
      <c r="E20" s="329"/>
      <c r="F20" s="329"/>
      <c r="G20" s="329"/>
      <c r="H20" s="329"/>
      <c r="I20" s="329"/>
      <c r="J20" s="329"/>
      <c r="K20" s="329"/>
      <c r="L20" s="329"/>
      <c r="N20" s="296" t="s">
        <v>854</v>
      </c>
      <c r="O20" s="96">
        <v>2</v>
      </c>
      <c r="P20" s="83">
        <f t="shared" si="9"/>
        <v>4</v>
      </c>
      <c r="Q20" s="83">
        <f>COUNTIFS($O$1:$O20,1)</f>
        <v>3</v>
      </c>
      <c r="R20" s="83">
        <f t="shared" si="10"/>
        <v>3</v>
      </c>
      <c r="S20" s="83"/>
      <c r="T20" s="93" t="str">
        <f t="shared" si="3"/>
        <v>4.3.3.</v>
      </c>
    </row>
    <row r="21" spans="1:21" ht="13.8" x14ac:dyDescent="0.3">
      <c r="A21" s="48" t="str">
        <f t="shared" si="7"/>
        <v>4.3.4.</v>
      </c>
      <c r="B21" s="13" t="s">
        <v>18</v>
      </c>
      <c r="C21" s="14" t="str">
        <f>CONCATENATE("Eur/",C20)</f>
        <v>Eur/vnt.</v>
      </c>
      <c r="D21" s="367" t="str">
        <f>IFERROR(ROUND(D22/D20,2),"-")</f>
        <v>-</v>
      </c>
      <c r="E21" s="330"/>
      <c r="F21" s="330"/>
      <c r="G21" s="330"/>
      <c r="H21" s="330"/>
      <c r="I21" s="330"/>
      <c r="J21" s="330"/>
      <c r="K21" s="330"/>
      <c r="L21" s="330"/>
      <c r="N21" s="296" t="s">
        <v>855</v>
      </c>
      <c r="O21" s="96">
        <v>2</v>
      </c>
      <c r="P21" s="83">
        <f t="shared" si="9"/>
        <v>4</v>
      </c>
      <c r="Q21" s="83">
        <f>COUNTIFS($O$1:$O21,1)</f>
        <v>3</v>
      </c>
      <c r="R21" s="83">
        <f t="shared" si="10"/>
        <v>4</v>
      </c>
      <c r="S21" s="83"/>
      <c r="T21" s="93" t="str">
        <f t="shared" si="3"/>
        <v>4.3.4.</v>
      </c>
    </row>
    <row r="22" spans="1:21" ht="13.8" x14ac:dyDescent="0.3">
      <c r="A22" s="48" t="str">
        <f t="shared" si="7"/>
        <v>4.3.5.</v>
      </c>
      <c r="B22" s="13" t="s">
        <v>286</v>
      </c>
      <c r="C22" s="14" t="s">
        <v>14</v>
      </c>
      <c r="D22" s="329"/>
      <c r="E22" s="368">
        <f>ROUND(E20*E21,0)</f>
        <v>0</v>
      </c>
      <c r="F22" s="368">
        <f t="shared" ref="F22:L22" si="11">ROUND(F20*F21,0)</f>
        <v>0</v>
      </c>
      <c r="G22" s="368">
        <f t="shared" si="11"/>
        <v>0</v>
      </c>
      <c r="H22" s="368">
        <f t="shared" si="11"/>
        <v>0</v>
      </c>
      <c r="I22" s="368">
        <f t="shared" si="11"/>
        <v>0</v>
      </c>
      <c r="J22" s="368">
        <f t="shared" si="11"/>
        <v>0</v>
      </c>
      <c r="K22" s="368">
        <f t="shared" si="11"/>
        <v>0</v>
      </c>
      <c r="L22" s="368">
        <f t="shared" si="11"/>
        <v>0</v>
      </c>
      <c r="N22" s="296"/>
      <c r="O22" s="96">
        <v>2</v>
      </c>
      <c r="P22" s="83">
        <f t="shared" si="9"/>
        <v>4</v>
      </c>
      <c r="Q22" s="83">
        <f>COUNTIFS($O$1:$O22,1)</f>
        <v>3</v>
      </c>
      <c r="R22" s="83">
        <f t="shared" si="10"/>
        <v>5</v>
      </c>
      <c r="S22" s="83"/>
      <c r="T22" s="93" t="str">
        <f t="shared" si="3"/>
        <v>4.3.5.</v>
      </c>
      <c r="U22" s="96"/>
    </row>
    <row r="23" spans="1:21" ht="30" customHeight="1" thickBot="1" x14ac:dyDescent="0.35">
      <c r="A23" s="101" t="str">
        <f t="shared" si="7"/>
        <v>4.3.6.</v>
      </c>
      <c r="B23" s="102" t="s">
        <v>294</v>
      </c>
      <c r="C23" s="103"/>
      <c r="D23" s="489"/>
      <c r="E23" s="489"/>
      <c r="F23" s="489"/>
      <c r="G23" s="489"/>
      <c r="H23" s="489"/>
      <c r="I23" s="489"/>
      <c r="J23" s="489"/>
      <c r="K23" s="489"/>
      <c r="L23" s="489"/>
      <c r="N23" s="296" t="s">
        <v>856</v>
      </c>
      <c r="O23" s="96">
        <v>2</v>
      </c>
      <c r="P23" s="83">
        <f t="shared" si="9"/>
        <v>4</v>
      </c>
      <c r="Q23" s="83">
        <f>COUNTIFS($O$1:$O23,1)</f>
        <v>3</v>
      </c>
      <c r="R23" s="83">
        <f t="shared" si="10"/>
        <v>6</v>
      </c>
      <c r="S23" s="83"/>
      <c r="T23" s="93" t="str">
        <f t="shared" si="3"/>
        <v>4.3.6.</v>
      </c>
      <c r="U23" s="96"/>
    </row>
    <row r="24" spans="1:21" ht="13.8" x14ac:dyDescent="0.3">
      <c r="A24" s="57" t="str">
        <f t="shared" si="7"/>
        <v>4.4.</v>
      </c>
      <c r="B24" s="188" t="s">
        <v>289</v>
      </c>
      <c r="C24" s="90"/>
      <c r="D24" s="493"/>
      <c r="E24" s="494"/>
      <c r="F24" s="494"/>
      <c r="G24" s="494"/>
      <c r="H24" s="494"/>
      <c r="I24" s="494"/>
      <c r="J24" s="494"/>
      <c r="K24" s="494"/>
      <c r="L24" s="494"/>
      <c r="N24" s="296" t="s">
        <v>851</v>
      </c>
      <c r="O24" s="96">
        <v>1</v>
      </c>
      <c r="P24" s="83">
        <f t="shared" si="9"/>
        <v>4</v>
      </c>
      <c r="Q24" s="83">
        <f>COUNTIFS($O$1:$O24,1)</f>
        <v>4</v>
      </c>
      <c r="R24" s="83" t="str">
        <f t="shared" si="10"/>
        <v/>
      </c>
      <c r="S24" s="83"/>
      <c r="T24" s="93" t="str">
        <f t="shared" si="3"/>
        <v>4.4.</v>
      </c>
      <c r="U24" s="96"/>
    </row>
    <row r="25" spans="1:21" ht="13.8" x14ac:dyDescent="0.3">
      <c r="A25" s="48" t="str">
        <f t="shared" si="7"/>
        <v>4.4.1.</v>
      </c>
      <c r="B25" s="98" t="s">
        <v>285</v>
      </c>
      <c r="C25" s="89"/>
      <c r="D25" s="490"/>
      <c r="E25" s="490"/>
      <c r="F25" s="490"/>
      <c r="G25" s="490"/>
      <c r="H25" s="490"/>
      <c r="I25" s="490"/>
      <c r="J25" s="490"/>
      <c r="K25" s="490"/>
      <c r="L25" s="490"/>
      <c r="N25" s="296" t="s">
        <v>852</v>
      </c>
      <c r="O25" s="96">
        <v>2</v>
      </c>
      <c r="P25" s="83">
        <f t="shared" si="9"/>
        <v>4</v>
      </c>
      <c r="Q25" s="83">
        <f>COUNTIFS($O$1:$O25,1)</f>
        <v>4</v>
      </c>
      <c r="R25" s="83">
        <f t="shared" si="10"/>
        <v>1</v>
      </c>
      <c r="S25" s="83"/>
      <c r="T25" s="93" t="str">
        <f t="shared" si="3"/>
        <v>4.4.1.</v>
      </c>
      <c r="U25" s="96"/>
    </row>
    <row r="26" spans="1:21" ht="13.8" x14ac:dyDescent="0.3">
      <c r="A26" s="48" t="str">
        <f t="shared" si="7"/>
        <v>4.4.2.</v>
      </c>
      <c r="B26" s="13" t="s">
        <v>16</v>
      </c>
      <c r="C26" s="317" t="s">
        <v>19</v>
      </c>
      <c r="D26" s="329"/>
      <c r="E26" s="329"/>
      <c r="F26" s="329"/>
      <c r="G26" s="329"/>
      <c r="H26" s="329"/>
      <c r="I26" s="329"/>
      <c r="J26" s="329"/>
      <c r="K26" s="329"/>
      <c r="L26" s="329"/>
      <c r="N26" s="297" t="s">
        <v>853</v>
      </c>
      <c r="O26" s="96">
        <v>2</v>
      </c>
      <c r="P26" s="83">
        <f t="shared" si="9"/>
        <v>4</v>
      </c>
      <c r="Q26" s="83">
        <f>COUNTIFS($O$1:$O26,1)</f>
        <v>4</v>
      </c>
      <c r="R26" s="83">
        <f t="shared" si="10"/>
        <v>2</v>
      </c>
      <c r="S26" s="83"/>
      <c r="T26" s="93" t="str">
        <f t="shared" si="3"/>
        <v>4.4.2.</v>
      </c>
      <c r="U26" s="96"/>
    </row>
    <row r="27" spans="1:21" ht="13.8" x14ac:dyDescent="0.3">
      <c r="A27" s="48" t="str">
        <f t="shared" si="7"/>
        <v>4.4.3.</v>
      </c>
      <c r="B27" s="13" t="s">
        <v>17</v>
      </c>
      <c r="C27" s="58" t="str">
        <f>+C26</f>
        <v>vnt.</v>
      </c>
      <c r="D27" s="329"/>
      <c r="E27" s="329"/>
      <c r="F27" s="329"/>
      <c r="G27" s="329"/>
      <c r="H27" s="329"/>
      <c r="I27" s="329"/>
      <c r="J27" s="329"/>
      <c r="K27" s="329"/>
      <c r="L27" s="329"/>
      <c r="N27" s="296" t="s">
        <v>854</v>
      </c>
      <c r="O27" s="96">
        <v>2</v>
      </c>
      <c r="P27" s="83">
        <f t="shared" si="9"/>
        <v>4</v>
      </c>
      <c r="Q27" s="83">
        <f>COUNTIFS($O$1:$O27,1)</f>
        <v>4</v>
      </c>
      <c r="R27" s="83">
        <f t="shared" si="10"/>
        <v>3</v>
      </c>
      <c r="S27" s="83"/>
      <c r="T27" s="93" t="str">
        <f t="shared" si="3"/>
        <v>4.4.3.</v>
      </c>
      <c r="U27" s="96"/>
    </row>
    <row r="28" spans="1:21" ht="13.8" x14ac:dyDescent="0.3">
      <c r="A28" s="48" t="str">
        <f t="shared" si="7"/>
        <v>4.4.4.</v>
      </c>
      <c r="B28" s="13" t="s">
        <v>18</v>
      </c>
      <c r="C28" s="14" t="str">
        <f>CONCATENATE("Eur/",C27)</f>
        <v>Eur/vnt.</v>
      </c>
      <c r="D28" s="367" t="str">
        <f>IFERROR(ROUND(D29/D27,2),"-")</f>
        <v>-</v>
      </c>
      <c r="E28" s="330"/>
      <c r="F28" s="330"/>
      <c r="G28" s="330"/>
      <c r="H28" s="330"/>
      <c r="I28" s="330"/>
      <c r="J28" s="330"/>
      <c r="K28" s="330"/>
      <c r="L28" s="330"/>
      <c r="N28" s="296" t="s">
        <v>855</v>
      </c>
      <c r="O28" s="96">
        <v>2</v>
      </c>
      <c r="P28" s="83">
        <f t="shared" si="9"/>
        <v>4</v>
      </c>
      <c r="Q28" s="83">
        <f>COUNTIFS($O$1:$O28,1)</f>
        <v>4</v>
      </c>
      <c r="R28" s="83">
        <f t="shared" si="10"/>
        <v>4</v>
      </c>
      <c r="S28" s="83"/>
      <c r="T28" s="93" t="str">
        <f t="shared" si="3"/>
        <v>4.4.4.</v>
      </c>
      <c r="U28" s="96"/>
    </row>
    <row r="29" spans="1:21" ht="13.8" x14ac:dyDescent="0.3">
      <c r="A29" s="48" t="str">
        <f t="shared" si="7"/>
        <v>4.4.5.</v>
      </c>
      <c r="B29" s="13" t="s">
        <v>286</v>
      </c>
      <c r="C29" s="14" t="s">
        <v>14</v>
      </c>
      <c r="D29" s="329"/>
      <c r="E29" s="368">
        <f>ROUND(E27*E28,0)</f>
        <v>0</v>
      </c>
      <c r="F29" s="368">
        <f t="shared" ref="F29:L29" si="12">ROUND(F27*F28,0)</f>
        <v>0</v>
      </c>
      <c r="G29" s="368">
        <f t="shared" si="12"/>
        <v>0</v>
      </c>
      <c r="H29" s="368">
        <f t="shared" si="12"/>
        <v>0</v>
      </c>
      <c r="I29" s="368">
        <f t="shared" si="12"/>
        <v>0</v>
      </c>
      <c r="J29" s="368">
        <f t="shared" si="12"/>
        <v>0</v>
      </c>
      <c r="K29" s="368">
        <f t="shared" si="12"/>
        <v>0</v>
      </c>
      <c r="L29" s="368">
        <f t="shared" si="12"/>
        <v>0</v>
      </c>
      <c r="N29" s="296"/>
      <c r="O29" s="96">
        <v>2</v>
      </c>
      <c r="P29" s="83">
        <f t="shared" si="9"/>
        <v>4</v>
      </c>
      <c r="Q29" s="83">
        <f>COUNTIFS($O$1:$O29,1)</f>
        <v>4</v>
      </c>
      <c r="R29" s="83">
        <f t="shared" si="10"/>
        <v>5</v>
      </c>
      <c r="S29" s="83"/>
      <c r="T29" s="93" t="str">
        <f t="shared" si="3"/>
        <v>4.4.5.</v>
      </c>
      <c r="U29" s="96"/>
    </row>
    <row r="30" spans="1:21" ht="30" customHeight="1" thickBot="1" x14ac:dyDescent="0.35">
      <c r="A30" s="99" t="str">
        <f t="shared" si="7"/>
        <v>4.4.6.</v>
      </c>
      <c r="B30" s="102" t="s">
        <v>294</v>
      </c>
      <c r="C30" s="103"/>
      <c r="D30" s="489"/>
      <c r="E30" s="489"/>
      <c r="F30" s="489"/>
      <c r="G30" s="489"/>
      <c r="H30" s="489"/>
      <c r="I30" s="489"/>
      <c r="J30" s="489"/>
      <c r="K30" s="489"/>
      <c r="L30" s="489"/>
      <c r="N30" s="296" t="s">
        <v>856</v>
      </c>
      <c r="O30" s="96">
        <v>2</v>
      </c>
      <c r="P30" s="83">
        <f t="shared" si="9"/>
        <v>4</v>
      </c>
      <c r="Q30" s="83">
        <f>COUNTIFS($O$1:$O30,1)</f>
        <v>4</v>
      </c>
      <c r="R30" s="83">
        <f t="shared" si="10"/>
        <v>6</v>
      </c>
      <c r="S30" s="83"/>
      <c r="T30" s="93" t="str">
        <f t="shared" si="3"/>
        <v>4.4.6.</v>
      </c>
      <c r="U30" s="96"/>
    </row>
    <row r="31" spans="1:21" ht="13.8" x14ac:dyDescent="0.3">
      <c r="A31" s="57" t="str">
        <f t="shared" si="7"/>
        <v>4.5.</v>
      </c>
      <c r="B31" s="188" t="s">
        <v>289</v>
      </c>
      <c r="C31" s="90"/>
      <c r="D31" s="491"/>
      <c r="E31" s="488"/>
      <c r="F31" s="488"/>
      <c r="G31" s="488"/>
      <c r="H31" s="488"/>
      <c r="I31" s="488"/>
      <c r="J31" s="488"/>
      <c r="K31" s="488"/>
      <c r="L31" s="488"/>
      <c r="N31" s="296" t="s">
        <v>851</v>
      </c>
      <c r="O31" s="96">
        <v>1</v>
      </c>
      <c r="P31" s="83">
        <f t="shared" si="9"/>
        <v>4</v>
      </c>
      <c r="Q31" s="83">
        <f>COUNTIFS($O$1:$O31,1)</f>
        <v>5</v>
      </c>
      <c r="R31" s="83" t="str">
        <f t="shared" si="10"/>
        <v/>
      </c>
      <c r="S31" s="83"/>
      <c r="T31" s="93" t="str">
        <f t="shared" si="3"/>
        <v>4.5.</v>
      </c>
      <c r="U31" s="96"/>
    </row>
    <row r="32" spans="1:21" ht="13.8" x14ac:dyDescent="0.3">
      <c r="A32" s="48" t="str">
        <f t="shared" si="7"/>
        <v>4.5.1.</v>
      </c>
      <c r="B32" s="98" t="s">
        <v>285</v>
      </c>
      <c r="C32" s="89"/>
      <c r="D32" s="492"/>
      <c r="E32" s="487"/>
      <c r="F32" s="487"/>
      <c r="G32" s="487"/>
      <c r="H32" s="487"/>
      <c r="I32" s="487"/>
      <c r="J32" s="487"/>
      <c r="K32" s="487"/>
      <c r="L32" s="487"/>
      <c r="N32" s="296" t="s">
        <v>852</v>
      </c>
      <c r="O32" s="96">
        <v>2</v>
      </c>
      <c r="P32" s="83">
        <f t="shared" si="9"/>
        <v>4</v>
      </c>
      <c r="Q32" s="83">
        <f>COUNTIFS($O$1:$O32,1)</f>
        <v>5</v>
      </c>
      <c r="R32" s="83">
        <f t="shared" si="10"/>
        <v>1</v>
      </c>
      <c r="S32" s="83"/>
      <c r="T32" s="93" t="str">
        <f t="shared" si="3"/>
        <v>4.5.1.</v>
      </c>
      <c r="U32" s="96"/>
    </row>
    <row r="33" spans="1:21" ht="13.8" x14ac:dyDescent="0.3">
      <c r="A33" s="48" t="str">
        <f t="shared" si="7"/>
        <v>4.5.2.</v>
      </c>
      <c r="B33" s="13" t="s">
        <v>16</v>
      </c>
      <c r="C33" s="317" t="s">
        <v>19</v>
      </c>
      <c r="D33" s="329"/>
      <c r="E33" s="329"/>
      <c r="F33" s="329"/>
      <c r="G33" s="329"/>
      <c r="H33" s="329"/>
      <c r="I33" s="329"/>
      <c r="J33" s="329"/>
      <c r="K33" s="329"/>
      <c r="L33" s="329"/>
      <c r="N33" s="297" t="s">
        <v>853</v>
      </c>
      <c r="O33" s="96">
        <v>2</v>
      </c>
      <c r="P33" s="83">
        <f t="shared" si="9"/>
        <v>4</v>
      </c>
      <c r="Q33" s="83">
        <f>COUNTIFS($O$1:$O33,1)</f>
        <v>5</v>
      </c>
      <c r="R33" s="83">
        <f t="shared" si="10"/>
        <v>2</v>
      </c>
      <c r="S33" s="83"/>
      <c r="T33" s="93" t="str">
        <f t="shared" si="3"/>
        <v>4.5.2.</v>
      </c>
      <c r="U33" s="96"/>
    </row>
    <row r="34" spans="1:21" ht="13.8" x14ac:dyDescent="0.3">
      <c r="A34" s="48" t="str">
        <f t="shared" si="7"/>
        <v>4.5.3.</v>
      </c>
      <c r="B34" s="13" t="s">
        <v>17</v>
      </c>
      <c r="C34" s="58" t="str">
        <f>+C33</f>
        <v>vnt.</v>
      </c>
      <c r="D34" s="329"/>
      <c r="E34" s="329"/>
      <c r="F34" s="329"/>
      <c r="G34" s="329"/>
      <c r="H34" s="329"/>
      <c r="I34" s="329"/>
      <c r="J34" s="329"/>
      <c r="K34" s="329"/>
      <c r="L34" s="329"/>
      <c r="N34" s="296" t="s">
        <v>854</v>
      </c>
      <c r="O34" s="96">
        <v>2</v>
      </c>
      <c r="P34" s="83">
        <f t="shared" si="9"/>
        <v>4</v>
      </c>
      <c r="Q34" s="83">
        <f>COUNTIFS($O$1:$O34,1)</f>
        <v>5</v>
      </c>
      <c r="R34" s="83">
        <f t="shared" si="10"/>
        <v>3</v>
      </c>
      <c r="S34" s="83"/>
      <c r="T34" s="93" t="str">
        <f t="shared" si="3"/>
        <v>4.5.3.</v>
      </c>
      <c r="U34" s="96"/>
    </row>
    <row r="35" spans="1:21" ht="13.8" x14ac:dyDescent="0.3">
      <c r="A35" s="48" t="str">
        <f t="shared" si="7"/>
        <v>4.5.4.</v>
      </c>
      <c r="B35" s="13" t="s">
        <v>18</v>
      </c>
      <c r="C35" s="14" t="str">
        <f>CONCATENATE("Eur/",C34)</f>
        <v>Eur/vnt.</v>
      </c>
      <c r="D35" s="367" t="str">
        <f>IFERROR(ROUND(D36/D34,2),"-")</f>
        <v>-</v>
      </c>
      <c r="E35" s="330"/>
      <c r="F35" s="330"/>
      <c r="G35" s="330"/>
      <c r="H35" s="330"/>
      <c r="I35" s="330"/>
      <c r="J35" s="330"/>
      <c r="K35" s="330"/>
      <c r="L35" s="330"/>
      <c r="N35" s="296" t="s">
        <v>855</v>
      </c>
      <c r="O35" s="96">
        <v>2</v>
      </c>
      <c r="P35" s="83">
        <f t="shared" si="9"/>
        <v>4</v>
      </c>
      <c r="Q35" s="83">
        <f>COUNTIFS($O$1:$O35,1)</f>
        <v>5</v>
      </c>
      <c r="R35" s="83">
        <f t="shared" si="10"/>
        <v>4</v>
      </c>
      <c r="S35" s="83"/>
      <c r="T35" s="93" t="str">
        <f t="shared" si="3"/>
        <v>4.5.4.</v>
      </c>
      <c r="U35" s="96"/>
    </row>
    <row r="36" spans="1:21" ht="13.8" x14ac:dyDescent="0.3">
      <c r="A36" s="48" t="str">
        <f t="shared" si="7"/>
        <v>4.5.5.</v>
      </c>
      <c r="B36" s="13" t="s">
        <v>286</v>
      </c>
      <c r="C36" s="14" t="s">
        <v>14</v>
      </c>
      <c r="D36" s="329"/>
      <c r="E36" s="368">
        <f>ROUND(E34*E35,0)</f>
        <v>0</v>
      </c>
      <c r="F36" s="368">
        <f t="shared" ref="F36:L36" si="13">ROUND(F34*F35,0)</f>
        <v>0</v>
      </c>
      <c r="G36" s="368">
        <f t="shared" si="13"/>
        <v>0</v>
      </c>
      <c r="H36" s="368">
        <f t="shared" si="13"/>
        <v>0</v>
      </c>
      <c r="I36" s="368">
        <f t="shared" si="13"/>
        <v>0</v>
      </c>
      <c r="J36" s="368">
        <f t="shared" si="13"/>
        <v>0</v>
      </c>
      <c r="K36" s="368">
        <f t="shared" si="13"/>
        <v>0</v>
      </c>
      <c r="L36" s="368">
        <f t="shared" si="13"/>
        <v>0</v>
      </c>
      <c r="N36" s="296"/>
      <c r="O36" s="96">
        <v>2</v>
      </c>
      <c r="P36" s="83">
        <f t="shared" si="9"/>
        <v>4</v>
      </c>
      <c r="Q36" s="83">
        <f>COUNTIFS($O$1:$O36,1)</f>
        <v>5</v>
      </c>
      <c r="R36" s="83">
        <f t="shared" si="10"/>
        <v>5</v>
      </c>
      <c r="S36" s="83"/>
      <c r="T36" s="93" t="str">
        <f t="shared" si="3"/>
        <v>4.5.5.</v>
      </c>
      <c r="U36" s="96"/>
    </row>
    <row r="37" spans="1:21" ht="30" customHeight="1" thickBot="1" x14ac:dyDescent="0.35">
      <c r="A37" s="99" t="str">
        <f t="shared" si="7"/>
        <v>4.5.6.</v>
      </c>
      <c r="B37" s="102" t="s">
        <v>294</v>
      </c>
      <c r="C37" s="103"/>
      <c r="D37" s="489"/>
      <c r="E37" s="489"/>
      <c r="F37" s="489"/>
      <c r="G37" s="489"/>
      <c r="H37" s="489"/>
      <c r="I37" s="489"/>
      <c r="J37" s="489"/>
      <c r="K37" s="489"/>
      <c r="L37" s="489"/>
      <c r="N37" s="296" t="s">
        <v>856</v>
      </c>
      <c r="O37" s="96">
        <v>2</v>
      </c>
      <c r="P37" s="83">
        <f t="shared" si="9"/>
        <v>4</v>
      </c>
      <c r="Q37" s="83">
        <f>COUNTIFS($O$1:$O37,1)</f>
        <v>5</v>
      </c>
      <c r="R37" s="83">
        <f t="shared" si="10"/>
        <v>6</v>
      </c>
      <c r="S37" s="83"/>
      <c r="T37" s="93" t="str">
        <f t="shared" si="3"/>
        <v>4.5.6.</v>
      </c>
      <c r="U37" s="96"/>
    </row>
    <row r="38" spans="1:21" ht="13.8" x14ac:dyDescent="0.3">
      <c r="A38" s="57" t="str">
        <f t="shared" si="7"/>
        <v>4.6.</v>
      </c>
      <c r="B38" s="188" t="s">
        <v>289</v>
      </c>
      <c r="C38" s="90"/>
      <c r="D38" s="491"/>
      <c r="E38" s="488"/>
      <c r="F38" s="488"/>
      <c r="G38" s="488"/>
      <c r="H38" s="488"/>
      <c r="I38" s="488"/>
      <c r="J38" s="488"/>
      <c r="K38" s="488"/>
      <c r="L38" s="488"/>
      <c r="N38" s="296" t="s">
        <v>851</v>
      </c>
      <c r="O38" s="96">
        <v>1</v>
      </c>
      <c r="P38" s="83">
        <f t="shared" si="9"/>
        <v>4</v>
      </c>
      <c r="Q38" s="83">
        <f>COUNTIFS($O$1:$O38,1)</f>
        <v>6</v>
      </c>
      <c r="R38" s="83" t="str">
        <f t="shared" si="10"/>
        <v/>
      </c>
      <c r="S38" s="83"/>
      <c r="T38" s="93" t="str">
        <f t="shared" si="3"/>
        <v>4.6.</v>
      </c>
      <c r="U38" s="96"/>
    </row>
    <row r="39" spans="1:21" ht="13.8" x14ac:dyDescent="0.3">
      <c r="A39" s="48" t="str">
        <f t="shared" si="7"/>
        <v>4.6.1.</v>
      </c>
      <c r="B39" s="98" t="s">
        <v>285</v>
      </c>
      <c r="C39" s="89"/>
      <c r="D39" s="492"/>
      <c r="E39" s="487"/>
      <c r="F39" s="487"/>
      <c r="G39" s="487"/>
      <c r="H39" s="487"/>
      <c r="I39" s="487"/>
      <c r="J39" s="487"/>
      <c r="K39" s="487"/>
      <c r="L39" s="487"/>
      <c r="N39" s="296" t="s">
        <v>852</v>
      </c>
      <c r="O39" s="96">
        <v>2</v>
      </c>
      <c r="P39" s="83">
        <f t="shared" si="9"/>
        <v>4</v>
      </c>
      <c r="Q39" s="83">
        <f>COUNTIFS($O$1:$O39,1)</f>
        <v>6</v>
      </c>
      <c r="R39" s="83">
        <f t="shared" si="10"/>
        <v>1</v>
      </c>
      <c r="S39" s="83"/>
      <c r="T39" s="93" t="str">
        <f t="shared" si="3"/>
        <v>4.6.1.</v>
      </c>
      <c r="U39" s="96"/>
    </row>
    <row r="40" spans="1:21" ht="13.8" x14ac:dyDescent="0.3">
      <c r="A40" s="48" t="str">
        <f t="shared" si="7"/>
        <v>4.6.2.</v>
      </c>
      <c r="B40" s="13" t="s">
        <v>16</v>
      </c>
      <c r="C40" s="317" t="s">
        <v>19</v>
      </c>
      <c r="D40" s="329"/>
      <c r="E40" s="329"/>
      <c r="F40" s="329"/>
      <c r="G40" s="329"/>
      <c r="H40" s="329"/>
      <c r="I40" s="329"/>
      <c r="J40" s="329"/>
      <c r="K40" s="329"/>
      <c r="L40" s="329"/>
      <c r="N40" s="297" t="s">
        <v>853</v>
      </c>
      <c r="O40" s="96">
        <v>2</v>
      </c>
      <c r="P40" s="83">
        <f t="shared" si="9"/>
        <v>4</v>
      </c>
      <c r="Q40" s="83">
        <f>COUNTIFS($O$1:$O40,1)</f>
        <v>6</v>
      </c>
      <c r="R40" s="83">
        <f t="shared" si="10"/>
        <v>2</v>
      </c>
      <c r="S40" s="83"/>
      <c r="T40" s="93" t="str">
        <f t="shared" si="3"/>
        <v>4.6.2.</v>
      </c>
      <c r="U40" s="96"/>
    </row>
    <row r="41" spans="1:21" ht="13.8" x14ac:dyDescent="0.3">
      <c r="A41" s="48" t="str">
        <f t="shared" si="7"/>
        <v>4.6.3.</v>
      </c>
      <c r="B41" s="13" t="s">
        <v>17</v>
      </c>
      <c r="C41" s="58" t="str">
        <f>+C40</f>
        <v>vnt.</v>
      </c>
      <c r="D41" s="329"/>
      <c r="E41" s="329"/>
      <c r="F41" s="329"/>
      <c r="G41" s="329"/>
      <c r="H41" s="329"/>
      <c r="I41" s="329"/>
      <c r="J41" s="329"/>
      <c r="K41" s="329"/>
      <c r="L41" s="329"/>
      <c r="N41" s="296" t="s">
        <v>854</v>
      </c>
      <c r="O41" s="96">
        <v>2</v>
      </c>
      <c r="P41" s="83">
        <f t="shared" si="9"/>
        <v>4</v>
      </c>
      <c r="Q41" s="83">
        <f>COUNTIFS($O$1:$O41,1)</f>
        <v>6</v>
      </c>
      <c r="R41" s="83">
        <f t="shared" si="10"/>
        <v>3</v>
      </c>
      <c r="S41" s="83"/>
      <c r="T41" s="93" t="str">
        <f t="shared" si="3"/>
        <v>4.6.3.</v>
      </c>
      <c r="U41" s="96"/>
    </row>
    <row r="42" spans="1:21" ht="13.8" x14ac:dyDescent="0.3">
      <c r="A42" s="48" t="str">
        <f t="shared" si="7"/>
        <v>4.6.4.</v>
      </c>
      <c r="B42" s="13" t="s">
        <v>18</v>
      </c>
      <c r="C42" s="14" t="str">
        <f>CONCATENATE("Eur/",C41)</f>
        <v>Eur/vnt.</v>
      </c>
      <c r="D42" s="367" t="str">
        <f>IFERROR(ROUND(D43/D41,2),"-")</f>
        <v>-</v>
      </c>
      <c r="E42" s="330"/>
      <c r="F42" s="330"/>
      <c r="G42" s="330"/>
      <c r="H42" s="330"/>
      <c r="I42" s="330"/>
      <c r="J42" s="330"/>
      <c r="K42" s="330"/>
      <c r="L42" s="330"/>
      <c r="N42" s="296" t="s">
        <v>855</v>
      </c>
      <c r="O42" s="96">
        <v>2</v>
      </c>
      <c r="P42" s="83">
        <f t="shared" si="9"/>
        <v>4</v>
      </c>
      <c r="Q42" s="83">
        <f>COUNTIFS($O$1:$O42,1)</f>
        <v>6</v>
      </c>
      <c r="R42" s="83">
        <f t="shared" si="10"/>
        <v>4</v>
      </c>
      <c r="S42" s="83"/>
      <c r="T42" s="93" t="str">
        <f t="shared" si="3"/>
        <v>4.6.4.</v>
      </c>
      <c r="U42" s="96"/>
    </row>
    <row r="43" spans="1:21" ht="13.8" x14ac:dyDescent="0.3">
      <c r="A43" s="48" t="str">
        <f t="shared" si="7"/>
        <v>4.6.5.</v>
      </c>
      <c r="B43" s="13" t="s">
        <v>286</v>
      </c>
      <c r="C43" s="14" t="s">
        <v>14</v>
      </c>
      <c r="D43" s="329"/>
      <c r="E43" s="368">
        <f>ROUND(E41*E42,0)</f>
        <v>0</v>
      </c>
      <c r="F43" s="368">
        <f t="shared" ref="F43:L43" si="14">ROUND(F41*F42,0)</f>
        <v>0</v>
      </c>
      <c r="G43" s="368">
        <f t="shared" si="14"/>
        <v>0</v>
      </c>
      <c r="H43" s="368">
        <f t="shared" si="14"/>
        <v>0</v>
      </c>
      <c r="I43" s="368">
        <f t="shared" si="14"/>
        <v>0</v>
      </c>
      <c r="J43" s="368">
        <f t="shared" si="14"/>
        <v>0</v>
      </c>
      <c r="K43" s="368">
        <f t="shared" si="14"/>
        <v>0</v>
      </c>
      <c r="L43" s="368">
        <f t="shared" si="14"/>
        <v>0</v>
      </c>
      <c r="N43" s="296"/>
      <c r="O43" s="96">
        <v>2</v>
      </c>
      <c r="P43" s="83">
        <f t="shared" si="9"/>
        <v>4</v>
      </c>
      <c r="Q43" s="83">
        <f>COUNTIFS($O$1:$O43,1)</f>
        <v>6</v>
      </c>
      <c r="R43" s="83">
        <f t="shared" si="10"/>
        <v>5</v>
      </c>
      <c r="S43" s="83"/>
      <c r="T43" s="93" t="str">
        <f t="shared" si="3"/>
        <v>4.6.5.</v>
      </c>
      <c r="U43" s="96"/>
    </row>
    <row r="44" spans="1:21" ht="30" customHeight="1" thickBot="1" x14ac:dyDescent="0.35">
      <c r="A44" s="99" t="str">
        <f t="shared" si="7"/>
        <v>4.6.6.</v>
      </c>
      <c r="B44" s="102" t="s">
        <v>294</v>
      </c>
      <c r="C44" s="103"/>
      <c r="D44" s="489"/>
      <c r="E44" s="489"/>
      <c r="F44" s="489"/>
      <c r="G44" s="489"/>
      <c r="H44" s="489"/>
      <c r="I44" s="489"/>
      <c r="J44" s="489"/>
      <c r="K44" s="489"/>
      <c r="L44" s="489"/>
      <c r="N44" s="296" t="s">
        <v>856</v>
      </c>
      <c r="O44" s="96">
        <v>2</v>
      </c>
      <c r="P44" s="83">
        <f t="shared" si="9"/>
        <v>4</v>
      </c>
      <c r="Q44" s="83">
        <f>COUNTIFS($O$1:$O44,1)</f>
        <v>6</v>
      </c>
      <c r="R44" s="83">
        <f t="shared" si="10"/>
        <v>6</v>
      </c>
      <c r="S44" s="83"/>
      <c r="T44" s="93" t="str">
        <f t="shared" si="3"/>
        <v>4.6.6.</v>
      </c>
      <c r="U44" s="96"/>
    </row>
    <row r="45" spans="1:21" ht="13.8" x14ac:dyDescent="0.3">
      <c r="A45" s="57" t="str">
        <f t="shared" si="7"/>
        <v>4.7.</v>
      </c>
      <c r="B45" s="188" t="s">
        <v>288</v>
      </c>
      <c r="C45" s="90"/>
      <c r="D45" s="488"/>
      <c r="E45" s="488"/>
      <c r="F45" s="488"/>
      <c r="G45" s="488"/>
      <c r="H45" s="488"/>
      <c r="I45" s="488"/>
      <c r="J45" s="488"/>
      <c r="K45" s="488"/>
      <c r="L45" s="488"/>
      <c r="N45" s="296" t="s">
        <v>857</v>
      </c>
      <c r="O45" s="96">
        <v>1</v>
      </c>
      <c r="P45" s="83">
        <f t="shared" si="9"/>
        <v>4</v>
      </c>
      <c r="Q45" s="83">
        <f>COUNTIFS($O$1:$O45,1)</f>
        <v>7</v>
      </c>
      <c r="R45" s="83" t="str">
        <f t="shared" si="10"/>
        <v/>
      </c>
      <c r="S45" s="83"/>
      <c r="T45" s="93" t="str">
        <f t="shared" si="3"/>
        <v>4.7.</v>
      </c>
      <c r="U45" s="96"/>
    </row>
    <row r="46" spans="1:21" ht="13.8" x14ac:dyDescent="0.3">
      <c r="A46" s="48" t="str">
        <f t="shared" si="7"/>
        <v>4.7.1.</v>
      </c>
      <c r="B46" s="98" t="s">
        <v>285</v>
      </c>
      <c r="C46" s="89"/>
      <c r="D46" s="487"/>
      <c r="E46" s="487"/>
      <c r="F46" s="487"/>
      <c r="G46" s="487"/>
      <c r="H46" s="487"/>
      <c r="I46" s="487"/>
      <c r="J46" s="487"/>
      <c r="K46" s="487"/>
      <c r="L46" s="487"/>
      <c r="N46" s="296" t="s">
        <v>852</v>
      </c>
      <c r="O46" s="96">
        <v>2</v>
      </c>
      <c r="P46" s="83">
        <f t="shared" si="9"/>
        <v>4</v>
      </c>
      <c r="Q46" s="83">
        <f>COUNTIFS($O$1:$O46,1)</f>
        <v>7</v>
      </c>
      <c r="R46" s="83">
        <f t="shared" si="10"/>
        <v>1</v>
      </c>
      <c r="S46" s="83"/>
      <c r="T46" s="93" t="str">
        <f t="shared" si="3"/>
        <v>4.7.1.</v>
      </c>
      <c r="U46" s="96"/>
    </row>
    <row r="47" spans="1:21" s="17" customFormat="1" ht="13.8" x14ac:dyDescent="0.3">
      <c r="A47" s="48" t="str">
        <f t="shared" si="7"/>
        <v>4.7.2.</v>
      </c>
      <c r="B47" s="13" t="s">
        <v>17</v>
      </c>
      <c r="C47" s="317" t="s">
        <v>177</v>
      </c>
      <c r="D47" s="329"/>
      <c r="E47" s="329"/>
      <c r="F47" s="329"/>
      <c r="G47" s="329"/>
      <c r="H47" s="329"/>
      <c r="I47" s="329"/>
      <c r="J47" s="329"/>
      <c r="K47" s="329"/>
      <c r="L47" s="329"/>
      <c r="M47" s="16"/>
      <c r="N47" s="297" t="s">
        <v>853</v>
      </c>
      <c r="O47" s="96">
        <v>2</v>
      </c>
      <c r="P47" s="83">
        <f t="shared" si="9"/>
        <v>4</v>
      </c>
      <c r="Q47" s="83">
        <f>COUNTIFS($O$1:$O47,1)</f>
        <v>7</v>
      </c>
      <c r="R47" s="83">
        <f t="shared" si="10"/>
        <v>2</v>
      </c>
      <c r="S47" s="83"/>
      <c r="T47" s="93" t="str">
        <f t="shared" si="3"/>
        <v>4.7.2.</v>
      </c>
      <c r="U47" s="96"/>
    </row>
    <row r="48" spans="1:21" ht="13.8" x14ac:dyDescent="0.3">
      <c r="A48" s="48" t="str">
        <f t="shared" si="7"/>
        <v>4.7.3.</v>
      </c>
      <c r="B48" s="13" t="s">
        <v>18</v>
      </c>
      <c r="C48" s="14" t="str">
        <f>CONCATENATE("Eur/",C47)</f>
        <v>Eur/val.</v>
      </c>
      <c r="D48" s="367" t="str">
        <f>IFERROR(ROUND(D49/D47,2),"-")</f>
        <v>-</v>
      </c>
      <c r="E48" s="330"/>
      <c r="F48" s="330"/>
      <c r="G48" s="330"/>
      <c r="H48" s="330"/>
      <c r="I48" s="330"/>
      <c r="J48" s="330"/>
      <c r="K48" s="330"/>
      <c r="L48" s="330"/>
      <c r="N48" s="296" t="s">
        <v>855</v>
      </c>
      <c r="O48" s="96">
        <v>2</v>
      </c>
      <c r="P48" s="83">
        <f t="shared" si="9"/>
        <v>4</v>
      </c>
      <c r="Q48" s="83">
        <f>COUNTIFS($O$1:$O48,1)</f>
        <v>7</v>
      </c>
      <c r="R48" s="83">
        <f t="shared" si="10"/>
        <v>3</v>
      </c>
      <c r="S48" s="83"/>
      <c r="T48" s="93" t="str">
        <f t="shared" si="3"/>
        <v>4.7.3.</v>
      </c>
      <c r="U48" s="96"/>
    </row>
    <row r="49" spans="1:21" ht="13.8" x14ac:dyDescent="0.3">
      <c r="A49" s="48" t="str">
        <f t="shared" si="7"/>
        <v>4.7.4.</v>
      </c>
      <c r="B49" s="13" t="s">
        <v>287</v>
      </c>
      <c r="C49" s="14" t="s">
        <v>14</v>
      </c>
      <c r="D49" s="329"/>
      <c r="E49" s="368">
        <f>ROUND(E47*E48,0)</f>
        <v>0</v>
      </c>
      <c r="F49" s="368">
        <f t="shared" ref="F49:L49" si="15">ROUND(F47*F48,0)</f>
        <v>0</v>
      </c>
      <c r="G49" s="368">
        <f t="shared" si="15"/>
        <v>0</v>
      </c>
      <c r="H49" s="368">
        <f t="shared" si="15"/>
        <v>0</v>
      </c>
      <c r="I49" s="368">
        <f t="shared" si="15"/>
        <v>0</v>
      </c>
      <c r="J49" s="368">
        <f t="shared" si="15"/>
        <v>0</v>
      </c>
      <c r="K49" s="368">
        <f t="shared" si="15"/>
        <v>0</v>
      </c>
      <c r="L49" s="368">
        <f t="shared" si="15"/>
        <v>0</v>
      </c>
      <c r="N49" s="296"/>
      <c r="O49" s="96">
        <v>2</v>
      </c>
      <c r="P49" s="83">
        <f t="shared" si="9"/>
        <v>4</v>
      </c>
      <c r="Q49" s="83">
        <f>COUNTIFS($O$1:$O49,1)</f>
        <v>7</v>
      </c>
      <c r="R49" s="83">
        <f t="shared" ref="R49:R80" si="16">IF($O49=$R$1,IF($O49&lt;&gt;$O48, 1, R48+1),"")</f>
        <v>4</v>
      </c>
      <c r="S49" s="83"/>
      <c r="T49" s="93" t="str">
        <f t="shared" si="3"/>
        <v>4.7.4.</v>
      </c>
      <c r="U49" s="96"/>
    </row>
    <row r="50" spans="1:21" ht="30" customHeight="1" thickBot="1" x14ac:dyDescent="0.35">
      <c r="A50" s="99" t="str">
        <f t="shared" si="7"/>
        <v>4.7.5.</v>
      </c>
      <c r="B50" s="97" t="s">
        <v>294</v>
      </c>
      <c r="C50" s="92"/>
      <c r="D50" s="486"/>
      <c r="E50" s="486"/>
      <c r="F50" s="486"/>
      <c r="G50" s="486"/>
      <c r="H50" s="486"/>
      <c r="I50" s="486"/>
      <c r="J50" s="486"/>
      <c r="K50" s="486"/>
      <c r="L50" s="486"/>
      <c r="N50" s="296" t="s">
        <v>856</v>
      </c>
      <c r="O50" s="96">
        <v>2</v>
      </c>
      <c r="P50" s="83">
        <f t="shared" si="9"/>
        <v>4</v>
      </c>
      <c r="Q50" s="83">
        <f>COUNTIFS($O$1:$O50,1)</f>
        <v>7</v>
      </c>
      <c r="R50" s="83">
        <f t="shared" si="16"/>
        <v>5</v>
      </c>
      <c r="S50" s="83"/>
      <c r="T50" s="93" t="str">
        <f t="shared" si="3"/>
        <v>4.7.5.</v>
      </c>
      <c r="U50" s="96"/>
    </row>
    <row r="51" spans="1:21" ht="13.8" x14ac:dyDescent="0.3">
      <c r="A51" s="57" t="str">
        <f t="shared" si="7"/>
        <v>4.8.</v>
      </c>
      <c r="B51" s="188" t="s">
        <v>288</v>
      </c>
      <c r="C51" s="90"/>
      <c r="D51" s="488"/>
      <c r="E51" s="488"/>
      <c r="F51" s="488"/>
      <c r="G51" s="488"/>
      <c r="H51" s="488"/>
      <c r="I51" s="488"/>
      <c r="J51" s="488"/>
      <c r="K51" s="488"/>
      <c r="L51" s="488"/>
      <c r="N51" s="296" t="s">
        <v>857</v>
      </c>
      <c r="O51" s="96">
        <v>1</v>
      </c>
      <c r="P51" s="83">
        <f t="shared" ref="P51:P86" si="17">+P50</f>
        <v>4</v>
      </c>
      <c r="Q51" s="83">
        <f>COUNTIFS($O$1:$O51,1)</f>
        <v>8</v>
      </c>
      <c r="R51" s="83" t="str">
        <f t="shared" si="16"/>
        <v/>
      </c>
      <c r="S51" s="83"/>
      <c r="T51" s="93" t="str">
        <f t="shared" si="3"/>
        <v>4.8.</v>
      </c>
      <c r="U51" s="96"/>
    </row>
    <row r="52" spans="1:21" ht="13.8" x14ac:dyDescent="0.3">
      <c r="A52" s="48" t="str">
        <f t="shared" si="7"/>
        <v>4.8.1.</v>
      </c>
      <c r="B52" s="98" t="s">
        <v>285</v>
      </c>
      <c r="C52" s="89"/>
      <c r="D52" s="487"/>
      <c r="E52" s="487"/>
      <c r="F52" s="487"/>
      <c r="G52" s="487"/>
      <c r="H52" s="487"/>
      <c r="I52" s="487"/>
      <c r="J52" s="487"/>
      <c r="K52" s="487"/>
      <c r="L52" s="487"/>
      <c r="N52" s="296" t="s">
        <v>852</v>
      </c>
      <c r="O52" s="96">
        <v>2</v>
      </c>
      <c r="P52" s="83">
        <f t="shared" si="17"/>
        <v>4</v>
      </c>
      <c r="Q52" s="83">
        <f>COUNTIFS($O$1:$O52,1)</f>
        <v>8</v>
      </c>
      <c r="R52" s="83">
        <f t="shared" si="16"/>
        <v>1</v>
      </c>
      <c r="S52" s="83"/>
      <c r="T52" s="93" t="str">
        <f t="shared" si="3"/>
        <v>4.8.1.</v>
      </c>
      <c r="U52" s="96"/>
    </row>
    <row r="53" spans="1:21" ht="13.8" x14ac:dyDescent="0.3">
      <c r="A53" s="48" t="str">
        <f t="shared" si="7"/>
        <v>4.8.2.</v>
      </c>
      <c r="B53" s="13" t="s">
        <v>17</v>
      </c>
      <c r="C53" s="317" t="s">
        <v>177</v>
      </c>
      <c r="D53" s="329"/>
      <c r="E53" s="329"/>
      <c r="F53" s="329"/>
      <c r="G53" s="329"/>
      <c r="H53" s="329"/>
      <c r="I53" s="329"/>
      <c r="J53" s="329"/>
      <c r="K53" s="329"/>
      <c r="L53" s="329"/>
      <c r="N53" s="297" t="s">
        <v>853</v>
      </c>
      <c r="O53" s="96">
        <v>2</v>
      </c>
      <c r="P53" s="83">
        <f t="shared" si="17"/>
        <v>4</v>
      </c>
      <c r="Q53" s="83">
        <f>COUNTIFS($O$1:$O53,1)</f>
        <v>8</v>
      </c>
      <c r="R53" s="83">
        <f t="shared" si="16"/>
        <v>2</v>
      </c>
      <c r="S53" s="83"/>
      <c r="T53" s="93" t="str">
        <f t="shared" si="3"/>
        <v>4.8.2.</v>
      </c>
      <c r="U53" s="96"/>
    </row>
    <row r="54" spans="1:21" ht="13.8" x14ac:dyDescent="0.3">
      <c r="A54" s="48" t="str">
        <f t="shared" si="7"/>
        <v>4.8.3.</v>
      </c>
      <c r="B54" s="13" t="s">
        <v>18</v>
      </c>
      <c r="C54" s="14" t="str">
        <f>CONCATENATE("Eur/",C53)</f>
        <v>Eur/val.</v>
      </c>
      <c r="D54" s="367" t="str">
        <f>IFERROR(ROUND(D55/D53,2),"-")</f>
        <v>-</v>
      </c>
      <c r="E54" s="330"/>
      <c r="F54" s="330"/>
      <c r="G54" s="330"/>
      <c r="H54" s="330"/>
      <c r="I54" s="330"/>
      <c r="J54" s="330"/>
      <c r="K54" s="330"/>
      <c r="L54" s="330"/>
      <c r="N54" s="296" t="s">
        <v>855</v>
      </c>
      <c r="O54" s="96">
        <v>2</v>
      </c>
      <c r="P54" s="83">
        <f t="shared" si="17"/>
        <v>4</v>
      </c>
      <c r="Q54" s="83">
        <f>COUNTIFS($O$1:$O54,1)</f>
        <v>8</v>
      </c>
      <c r="R54" s="83">
        <f t="shared" si="16"/>
        <v>3</v>
      </c>
      <c r="S54" s="83"/>
      <c r="T54" s="93" t="str">
        <f t="shared" si="3"/>
        <v>4.8.3.</v>
      </c>
      <c r="U54" s="96"/>
    </row>
    <row r="55" spans="1:21" ht="13.8" x14ac:dyDescent="0.3">
      <c r="A55" s="48" t="str">
        <f t="shared" si="7"/>
        <v>4.8.4.</v>
      </c>
      <c r="B55" s="13" t="s">
        <v>287</v>
      </c>
      <c r="C55" s="14" t="s">
        <v>14</v>
      </c>
      <c r="D55" s="329"/>
      <c r="E55" s="368">
        <f>ROUND(E53*E54,0)</f>
        <v>0</v>
      </c>
      <c r="F55" s="368">
        <f t="shared" ref="F55:L55" si="18">ROUND(F53*F54,0)</f>
        <v>0</v>
      </c>
      <c r="G55" s="368">
        <f t="shared" si="18"/>
        <v>0</v>
      </c>
      <c r="H55" s="368">
        <f t="shared" si="18"/>
        <v>0</v>
      </c>
      <c r="I55" s="368">
        <f t="shared" si="18"/>
        <v>0</v>
      </c>
      <c r="J55" s="368">
        <f t="shared" si="18"/>
        <v>0</v>
      </c>
      <c r="K55" s="368">
        <f t="shared" si="18"/>
        <v>0</v>
      </c>
      <c r="L55" s="368">
        <f t="shared" si="18"/>
        <v>0</v>
      </c>
      <c r="N55" s="296"/>
      <c r="O55" s="96">
        <v>2</v>
      </c>
      <c r="P55" s="83">
        <f t="shared" si="17"/>
        <v>4</v>
      </c>
      <c r="Q55" s="83">
        <f>COUNTIFS($O$1:$O55,1)</f>
        <v>8</v>
      </c>
      <c r="R55" s="83">
        <f t="shared" si="16"/>
        <v>4</v>
      </c>
      <c r="S55" s="83"/>
      <c r="T55" s="93" t="str">
        <f t="shared" si="3"/>
        <v>4.8.4.</v>
      </c>
      <c r="U55" s="96"/>
    </row>
    <row r="56" spans="1:21" ht="30" customHeight="1" thickBot="1" x14ac:dyDescent="0.35">
      <c r="A56" s="99" t="str">
        <f t="shared" si="7"/>
        <v>4.8.5.</v>
      </c>
      <c r="B56" s="97" t="s">
        <v>294</v>
      </c>
      <c r="C56" s="92"/>
      <c r="D56" s="486"/>
      <c r="E56" s="486"/>
      <c r="F56" s="486"/>
      <c r="G56" s="486"/>
      <c r="H56" s="486"/>
      <c r="I56" s="486"/>
      <c r="J56" s="486"/>
      <c r="K56" s="486"/>
      <c r="L56" s="486"/>
      <c r="N56" s="296" t="s">
        <v>856</v>
      </c>
      <c r="O56" s="96">
        <v>2</v>
      </c>
      <c r="P56" s="83">
        <f t="shared" si="17"/>
        <v>4</v>
      </c>
      <c r="Q56" s="83">
        <f>COUNTIFS($O$1:$O56,1)</f>
        <v>8</v>
      </c>
      <c r="R56" s="83">
        <f t="shared" si="16"/>
        <v>5</v>
      </c>
      <c r="S56" s="83"/>
      <c r="T56" s="93" t="str">
        <f t="shared" si="3"/>
        <v>4.8.5.</v>
      </c>
      <c r="U56" s="96"/>
    </row>
    <row r="57" spans="1:21" ht="13.8" x14ac:dyDescent="0.3">
      <c r="A57" s="57" t="str">
        <f t="shared" si="7"/>
        <v>4.9.</v>
      </c>
      <c r="B57" s="188" t="s">
        <v>288</v>
      </c>
      <c r="C57" s="90"/>
      <c r="D57" s="488"/>
      <c r="E57" s="488"/>
      <c r="F57" s="488"/>
      <c r="G57" s="488"/>
      <c r="H57" s="488"/>
      <c r="I57" s="488"/>
      <c r="J57" s="488"/>
      <c r="K57" s="488"/>
      <c r="L57" s="488"/>
      <c r="N57" s="296" t="s">
        <v>857</v>
      </c>
      <c r="O57" s="96">
        <v>1</v>
      </c>
      <c r="P57" s="83">
        <f t="shared" si="17"/>
        <v>4</v>
      </c>
      <c r="Q57" s="83">
        <f>COUNTIFS($O$1:$O57,1)</f>
        <v>9</v>
      </c>
      <c r="R57" s="83" t="str">
        <f t="shared" si="16"/>
        <v/>
      </c>
      <c r="S57" s="83"/>
      <c r="T57" s="93" t="str">
        <f t="shared" si="3"/>
        <v>4.9.</v>
      </c>
      <c r="U57" s="96"/>
    </row>
    <row r="58" spans="1:21" ht="13.8" x14ac:dyDescent="0.3">
      <c r="A58" s="48" t="str">
        <f t="shared" si="7"/>
        <v>4.9.1.</v>
      </c>
      <c r="B58" s="98" t="s">
        <v>285</v>
      </c>
      <c r="C58" s="89"/>
      <c r="D58" s="487"/>
      <c r="E58" s="487"/>
      <c r="F58" s="487"/>
      <c r="G58" s="487"/>
      <c r="H58" s="487"/>
      <c r="I58" s="487"/>
      <c r="J58" s="487"/>
      <c r="K58" s="487"/>
      <c r="L58" s="487"/>
      <c r="N58" s="296" t="s">
        <v>852</v>
      </c>
      <c r="O58" s="96">
        <v>2</v>
      </c>
      <c r="P58" s="83">
        <f t="shared" si="17"/>
        <v>4</v>
      </c>
      <c r="Q58" s="83">
        <f>COUNTIFS($O$1:$O58,1)</f>
        <v>9</v>
      </c>
      <c r="R58" s="83">
        <f t="shared" si="16"/>
        <v>1</v>
      </c>
      <c r="S58" s="83"/>
      <c r="T58" s="93" t="str">
        <f t="shared" si="3"/>
        <v>4.9.1.</v>
      </c>
      <c r="U58" s="96"/>
    </row>
    <row r="59" spans="1:21" ht="13.8" x14ac:dyDescent="0.3">
      <c r="A59" s="48" t="str">
        <f t="shared" si="7"/>
        <v>4.9.2.</v>
      </c>
      <c r="B59" s="13" t="s">
        <v>17</v>
      </c>
      <c r="C59" s="317" t="s">
        <v>177</v>
      </c>
      <c r="D59" s="329"/>
      <c r="E59" s="329"/>
      <c r="F59" s="329"/>
      <c r="G59" s="329"/>
      <c r="H59" s="329"/>
      <c r="I59" s="329"/>
      <c r="J59" s="329"/>
      <c r="K59" s="329"/>
      <c r="L59" s="329"/>
      <c r="N59" s="297" t="s">
        <v>853</v>
      </c>
      <c r="O59" s="96">
        <v>2</v>
      </c>
      <c r="P59" s="83">
        <f t="shared" si="17"/>
        <v>4</v>
      </c>
      <c r="Q59" s="83">
        <f>COUNTIFS($O$1:$O59,1)</f>
        <v>9</v>
      </c>
      <c r="R59" s="83">
        <f t="shared" si="16"/>
        <v>2</v>
      </c>
      <c r="S59" s="83"/>
      <c r="T59" s="93" t="str">
        <f t="shared" si="3"/>
        <v>4.9.2.</v>
      </c>
      <c r="U59" s="96"/>
    </row>
    <row r="60" spans="1:21" ht="13.8" x14ac:dyDescent="0.3">
      <c r="A60" s="48" t="str">
        <f t="shared" si="7"/>
        <v>4.9.3.</v>
      </c>
      <c r="B60" s="13" t="s">
        <v>18</v>
      </c>
      <c r="C60" s="14" t="str">
        <f>CONCATENATE("Eur/",C59)</f>
        <v>Eur/val.</v>
      </c>
      <c r="D60" s="367" t="str">
        <f>IFERROR(ROUND(D61/D59,2),"-")</f>
        <v>-</v>
      </c>
      <c r="E60" s="330"/>
      <c r="F60" s="330"/>
      <c r="G60" s="330"/>
      <c r="H60" s="330"/>
      <c r="I60" s="330"/>
      <c r="J60" s="330"/>
      <c r="K60" s="330"/>
      <c r="L60" s="330"/>
      <c r="N60" s="296" t="s">
        <v>855</v>
      </c>
      <c r="O60" s="96">
        <v>2</v>
      </c>
      <c r="P60" s="83">
        <f t="shared" si="17"/>
        <v>4</v>
      </c>
      <c r="Q60" s="83">
        <f>COUNTIFS($O$1:$O60,1)</f>
        <v>9</v>
      </c>
      <c r="R60" s="83">
        <f t="shared" si="16"/>
        <v>3</v>
      </c>
      <c r="S60" s="83"/>
      <c r="T60" s="93" t="str">
        <f t="shared" si="3"/>
        <v>4.9.3.</v>
      </c>
      <c r="U60" s="96"/>
    </row>
    <row r="61" spans="1:21" ht="13.8" x14ac:dyDescent="0.3">
      <c r="A61" s="48" t="str">
        <f t="shared" si="7"/>
        <v>4.9.4.</v>
      </c>
      <c r="B61" s="13" t="s">
        <v>287</v>
      </c>
      <c r="C61" s="14" t="s">
        <v>14</v>
      </c>
      <c r="D61" s="329"/>
      <c r="E61" s="368">
        <f>ROUND(E59*E60,0)</f>
        <v>0</v>
      </c>
      <c r="F61" s="368">
        <f t="shared" ref="F61:L61" si="19">ROUND(F59*F60,0)</f>
        <v>0</v>
      </c>
      <c r="G61" s="368">
        <f t="shared" si="19"/>
        <v>0</v>
      </c>
      <c r="H61" s="368">
        <f t="shared" si="19"/>
        <v>0</v>
      </c>
      <c r="I61" s="368">
        <f t="shared" si="19"/>
        <v>0</v>
      </c>
      <c r="J61" s="368">
        <f t="shared" si="19"/>
        <v>0</v>
      </c>
      <c r="K61" s="368">
        <f t="shared" si="19"/>
        <v>0</v>
      </c>
      <c r="L61" s="368">
        <f t="shared" si="19"/>
        <v>0</v>
      </c>
      <c r="N61" s="296"/>
      <c r="O61" s="96">
        <v>2</v>
      </c>
      <c r="P61" s="83">
        <f t="shared" si="17"/>
        <v>4</v>
      </c>
      <c r="Q61" s="83">
        <f>COUNTIFS($O$1:$O61,1)</f>
        <v>9</v>
      </c>
      <c r="R61" s="83">
        <f t="shared" si="16"/>
        <v>4</v>
      </c>
      <c r="S61" s="83"/>
      <c r="T61" s="93" t="str">
        <f t="shared" si="3"/>
        <v>4.9.4.</v>
      </c>
      <c r="U61" s="96"/>
    </row>
    <row r="62" spans="1:21" ht="30" customHeight="1" thickBot="1" x14ac:dyDescent="0.35">
      <c r="A62" s="99" t="str">
        <f t="shared" si="7"/>
        <v>4.9.5.</v>
      </c>
      <c r="B62" s="97" t="s">
        <v>294</v>
      </c>
      <c r="C62" s="92"/>
      <c r="D62" s="486"/>
      <c r="E62" s="486"/>
      <c r="F62" s="486"/>
      <c r="G62" s="486"/>
      <c r="H62" s="486"/>
      <c r="I62" s="486"/>
      <c r="J62" s="486"/>
      <c r="K62" s="486"/>
      <c r="L62" s="486"/>
      <c r="N62" s="296" t="s">
        <v>856</v>
      </c>
      <c r="O62" s="96">
        <v>2</v>
      </c>
      <c r="P62" s="83">
        <f t="shared" si="17"/>
        <v>4</v>
      </c>
      <c r="Q62" s="83">
        <f>COUNTIFS($O$1:$O62,1)</f>
        <v>9</v>
      </c>
      <c r="R62" s="83">
        <f t="shared" si="16"/>
        <v>5</v>
      </c>
      <c r="S62" s="83"/>
      <c r="T62" s="93" t="str">
        <f t="shared" si="3"/>
        <v>4.9.5.</v>
      </c>
      <c r="U62" s="96"/>
    </row>
    <row r="63" spans="1:21" ht="13.8" x14ac:dyDescent="0.3">
      <c r="A63" s="57" t="str">
        <f t="shared" si="7"/>
        <v>4.10.</v>
      </c>
      <c r="B63" s="188" t="s">
        <v>288</v>
      </c>
      <c r="C63" s="90"/>
      <c r="D63" s="488"/>
      <c r="E63" s="488"/>
      <c r="F63" s="488"/>
      <c r="G63" s="488"/>
      <c r="H63" s="488"/>
      <c r="I63" s="488"/>
      <c r="J63" s="488"/>
      <c r="K63" s="488"/>
      <c r="L63" s="488"/>
      <c r="N63" s="296" t="s">
        <v>857</v>
      </c>
      <c r="O63" s="96">
        <v>1</v>
      </c>
      <c r="P63" s="83">
        <f t="shared" si="17"/>
        <v>4</v>
      </c>
      <c r="Q63" s="83">
        <f>COUNTIFS($O$1:$O63,1)</f>
        <v>10</v>
      </c>
      <c r="R63" s="83" t="str">
        <f t="shared" si="16"/>
        <v/>
      </c>
      <c r="S63" s="83"/>
      <c r="T63" s="93" t="str">
        <f t="shared" si="3"/>
        <v>4.10.</v>
      </c>
      <c r="U63" s="96"/>
    </row>
    <row r="64" spans="1:21" ht="13.8" x14ac:dyDescent="0.3">
      <c r="A64" s="48" t="str">
        <f t="shared" si="7"/>
        <v>4.10.1.</v>
      </c>
      <c r="B64" s="98" t="s">
        <v>285</v>
      </c>
      <c r="C64" s="89"/>
      <c r="D64" s="487"/>
      <c r="E64" s="487"/>
      <c r="F64" s="487"/>
      <c r="G64" s="487"/>
      <c r="H64" s="487"/>
      <c r="I64" s="487"/>
      <c r="J64" s="487"/>
      <c r="K64" s="487"/>
      <c r="L64" s="487"/>
      <c r="N64" s="296" t="s">
        <v>852</v>
      </c>
      <c r="O64" s="96">
        <v>2</v>
      </c>
      <c r="P64" s="83">
        <f t="shared" si="17"/>
        <v>4</v>
      </c>
      <c r="Q64" s="83">
        <f>COUNTIFS($O$1:$O64,1)</f>
        <v>10</v>
      </c>
      <c r="R64" s="83">
        <f t="shared" si="16"/>
        <v>1</v>
      </c>
      <c r="S64" s="83"/>
      <c r="T64" s="93" t="str">
        <f t="shared" si="3"/>
        <v>4.10.1.</v>
      </c>
      <c r="U64" s="96"/>
    </row>
    <row r="65" spans="1:21" ht="13.8" x14ac:dyDescent="0.3">
      <c r="A65" s="48" t="str">
        <f t="shared" si="7"/>
        <v>4.10.2.</v>
      </c>
      <c r="B65" s="13" t="s">
        <v>17</v>
      </c>
      <c r="C65" s="317" t="s">
        <v>177</v>
      </c>
      <c r="D65" s="329"/>
      <c r="E65" s="329"/>
      <c r="F65" s="329"/>
      <c r="G65" s="329"/>
      <c r="H65" s="329"/>
      <c r="I65" s="329"/>
      <c r="J65" s="329"/>
      <c r="K65" s="329"/>
      <c r="L65" s="329"/>
      <c r="N65" s="297" t="s">
        <v>853</v>
      </c>
      <c r="O65" s="96">
        <v>2</v>
      </c>
      <c r="P65" s="83">
        <f t="shared" si="17"/>
        <v>4</v>
      </c>
      <c r="Q65" s="83">
        <f>COUNTIFS($O$1:$O65,1)</f>
        <v>10</v>
      </c>
      <c r="R65" s="83">
        <f t="shared" si="16"/>
        <v>2</v>
      </c>
      <c r="S65" s="83"/>
      <c r="T65" s="93" t="str">
        <f t="shared" si="3"/>
        <v>4.10.2.</v>
      </c>
      <c r="U65" s="96"/>
    </row>
    <row r="66" spans="1:21" ht="13.8" x14ac:dyDescent="0.3">
      <c r="A66" s="48" t="str">
        <f t="shared" si="7"/>
        <v>4.10.3.</v>
      </c>
      <c r="B66" s="13" t="s">
        <v>18</v>
      </c>
      <c r="C66" s="14" t="str">
        <f>CONCATENATE("Eur/",C65)</f>
        <v>Eur/val.</v>
      </c>
      <c r="D66" s="367" t="str">
        <f>IFERROR(ROUND(D67/D65,2),"-")</f>
        <v>-</v>
      </c>
      <c r="E66" s="330"/>
      <c r="F66" s="330"/>
      <c r="G66" s="330"/>
      <c r="H66" s="330"/>
      <c r="I66" s="330"/>
      <c r="J66" s="330"/>
      <c r="K66" s="330"/>
      <c r="L66" s="330"/>
      <c r="N66" s="296" t="s">
        <v>855</v>
      </c>
      <c r="O66" s="96">
        <v>2</v>
      </c>
      <c r="P66" s="83">
        <f t="shared" si="17"/>
        <v>4</v>
      </c>
      <c r="Q66" s="83">
        <f>COUNTIFS($O$1:$O66,1)</f>
        <v>10</v>
      </c>
      <c r="R66" s="83">
        <f t="shared" si="16"/>
        <v>3</v>
      </c>
      <c r="S66" s="83"/>
      <c r="T66" s="93" t="str">
        <f t="shared" si="3"/>
        <v>4.10.3.</v>
      </c>
      <c r="U66" s="96"/>
    </row>
    <row r="67" spans="1:21" ht="13.8" x14ac:dyDescent="0.3">
      <c r="A67" s="48" t="str">
        <f t="shared" si="7"/>
        <v>4.10.4.</v>
      </c>
      <c r="B67" s="13" t="s">
        <v>287</v>
      </c>
      <c r="C67" s="14" t="s">
        <v>14</v>
      </c>
      <c r="D67" s="329"/>
      <c r="E67" s="368">
        <f>ROUND(E65*E66,0)</f>
        <v>0</v>
      </c>
      <c r="F67" s="368">
        <f t="shared" ref="F67:L67" si="20">ROUND(F65*F66,0)</f>
        <v>0</v>
      </c>
      <c r="G67" s="368">
        <f t="shared" si="20"/>
        <v>0</v>
      </c>
      <c r="H67" s="368">
        <f t="shared" si="20"/>
        <v>0</v>
      </c>
      <c r="I67" s="368">
        <f t="shared" si="20"/>
        <v>0</v>
      </c>
      <c r="J67" s="368">
        <f t="shared" si="20"/>
        <v>0</v>
      </c>
      <c r="K67" s="368">
        <f t="shared" si="20"/>
        <v>0</v>
      </c>
      <c r="L67" s="368">
        <f t="shared" si="20"/>
        <v>0</v>
      </c>
      <c r="N67" s="296"/>
      <c r="O67" s="96">
        <v>2</v>
      </c>
      <c r="P67" s="83">
        <f t="shared" si="17"/>
        <v>4</v>
      </c>
      <c r="Q67" s="83">
        <f>COUNTIFS($O$1:$O67,1)</f>
        <v>10</v>
      </c>
      <c r="R67" s="83">
        <f t="shared" si="16"/>
        <v>4</v>
      </c>
      <c r="S67" s="83"/>
      <c r="T67" s="93" t="str">
        <f t="shared" si="3"/>
        <v>4.10.4.</v>
      </c>
      <c r="U67" s="96"/>
    </row>
    <row r="68" spans="1:21" ht="30" customHeight="1" thickBot="1" x14ac:dyDescent="0.35">
      <c r="A68" s="99" t="str">
        <f t="shared" si="7"/>
        <v>4.10.5.</v>
      </c>
      <c r="B68" s="97" t="s">
        <v>294</v>
      </c>
      <c r="C68" s="92"/>
      <c r="D68" s="486"/>
      <c r="E68" s="486"/>
      <c r="F68" s="486"/>
      <c r="G68" s="486"/>
      <c r="H68" s="486"/>
      <c r="I68" s="486"/>
      <c r="J68" s="486"/>
      <c r="K68" s="486"/>
      <c r="L68" s="486"/>
      <c r="N68" s="296" t="s">
        <v>856</v>
      </c>
      <c r="O68" s="96">
        <v>2</v>
      </c>
      <c r="P68" s="83">
        <f t="shared" si="17"/>
        <v>4</v>
      </c>
      <c r="Q68" s="83">
        <f>COUNTIFS($O$1:$O68,1)</f>
        <v>10</v>
      </c>
      <c r="R68" s="83">
        <f t="shared" si="16"/>
        <v>5</v>
      </c>
      <c r="S68" s="83"/>
      <c r="T68" s="93" t="str">
        <f t="shared" si="3"/>
        <v>4.10.5.</v>
      </c>
      <c r="U68" s="96"/>
    </row>
    <row r="69" spans="1:21" ht="13.8" x14ac:dyDescent="0.3">
      <c r="A69" s="57" t="str">
        <f t="shared" si="7"/>
        <v>4.11.</v>
      </c>
      <c r="B69" s="188" t="s">
        <v>288</v>
      </c>
      <c r="C69" s="90"/>
      <c r="D69" s="488"/>
      <c r="E69" s="488"/>
      <c r="F69" s="488"/>
      <c r="G69" s="488"/>
      <c r="H69" s="488"/>
      <c r="I69" s="488"/>
      <c r="J69" s="488"/>
      <c r="K69" s="488"/>
      <c r="L69" s="488"/>
      <c r="N69" s="296" t="s">
        <v>857</v>
      </c>
      <c r="O69" s="96">
        <v>1</v>
      </c>
      <c r="P69" s="83">
        <f t="shared" si="17"/>
        <v>4</v>
      </c>
      <c r="Q69" s="83">
        <f>COUNTIFS($O$1:$O69,1)</f>
        <v>11</v>
      </c>
      <c r="R69" s="83" t="str">
        <f t="shared" si="16"/>
        <v/>
      </c>
      <c r="S69" s="83"/>
      <c r="T69" s="93" t="str">
        <f t="shared" si="3"/>
        <v>4.11.</v>
      </c>
      <c r="U69" s="96"/>
    </row>
    <row r="70" spans="1:21" ht="13.8" x14ac:dyDescent="0.3">
      <c r="A70" s="48" t="str">
        <f t="shared" si="7"/>
        <v>4.11.1.</v>
      </c>
      <c r="B70" s="98" t="s">
        <v>285</v>
      </c>
      <c r="C70" s="89"/>
      <c r="D70" s="487"/>
      <c r="E70" s="487"/>
      <c r="F70" s="487"/>
      <c r="G70" s="487"/>
      <c r="H70" s="487"/>
      <c r="I70" s="487"/>
      <c r="J70" s="487"/>
      <c r="K70" s="487"/>
      <c r="L70" s="487"/>
      <c r="N70" s="296" t="s">
        <v>852</v>
      </c>
      <c r="O70" s="96">
        <v>2</v>
      </c>
      <c r="P70" s="83">
        <f t="shared" si="17"/>
        <v>4</v>
      </c>
      <c r="Q70" s="83">
        <f>COUNTIFS($O$1:$O70,1)</f>
        <v>11</v>
      </c>
      <c r="R70" s="83">
        <f t="shared" si="16"/>
        <v>1</v>
      </c>
      <c r="S70" s="83"/>
      <c r="T70" s="93" t="str">
        <f t="shared" si="3"/>
        <v>4.11.1.</v>
      </c>
      <c r="U70" s="96"/>
    </row>
    <row r="71" spans="1:21" ht="13.8" x14ac:dyDescent="0.3">
      <c r="A71" s="48" t="str">
        <f t="shared" si="7"/>
        <v>4.11.2.</v>
      </c>
      <c r="B71" s="13" t="s">
        <v>17</v>
      </c>
      <c r="C71" s="317" t="s">
        <v>177</v>
      </c>
      <c r="D71" s="329"/>
      <c r="E71" s="329"/>
      <c r="F71" s="329"/>
      <c r="G71" s="329"/>
      <c r="H71" s="329"/>
      <c r="I71" s="329"/>
      <c r="J71" s="329"/>
      <c r="K71" s="329"/>
      <c r="L71" s="329"/>
      <c r="N71" s="297" t="s">
        <v>853</v>
      </c>
      <c r="O71" s="96">
        <v>2</v>
      </c>
      <c r="P71" s="83">
        <f t="shared" si="17"/>
        <v>4</v>
      </c>
      <c r="Q71" s="83">
        <f>COUNTIFS($O$1:$O71,1)</f>
        <v>11</v>
      </c>
      <c r="R71" s="83">
        <f t="shared" si="16"/>
        <v>2</v>
      </c>
      <c r="S71" s="83"/>
      <c r="T71" s="93" t="str">
        <f t="shared" ref="T71:T86" si="21">CONCATENATE($P71, ".", $Q71, IF($R71&lt;&gt;"", CONCATENATE(".", $R71), ""), ".")</f>
        <v>4.11.2.</v>
      </c>
      <c r="U71" s="96"/>
    </row>
    <row r="72" spans="1:21" ht="13.8" x14ac:dyDescent="0.3">
      <c r="A72" s="48" t="str">
        <f t="shared" si="7"/>
        <v>4.11.3.</v>
      </c>
      <c r="B72" s="13" t="s">
        <v>18</v>
      </c>
      <c r="C72" s="14" t="str">
        <f>CONCATENATE("Eur/",C71)</f>
        <v>Eur/val.</v>
      </c>
      <c r="D72" s="367" t="str">
        <f>IFERROR(ROUND(D73/D71,2),"-")</f>
        <v>-</v>
      </c>
      <c r="E72" s="330"/>
      <c r="F72" s="330"/>
      <c r="G72" s="330"/>
      <c r="H72" s="330"/>
      <c r="I72" s="330"/>
      <c r="J72" s="330"/>
      <c r="K72" s="330"/>
      <c r="L72" s="330"/>
      <c r="N72" s="296" t="s">
        <v>855</v>
      </c>
      <c r="O72" s="96">
        <v>2</v>
      </c>
      <c r="P72" s="83">
        <f t="shared" si="17"/>
        <v>4</v>
      </c>
      <c r="Q72" s="83">
        <f>COUNTIFS($O$1:$O72,1)</f>
        <v>11</v>
      </c>
      <c r="R72" s="83">
        <f t="shared" si="16"/>
        <v>3</v>
      </c>
      <c r="S72" s="83"/>
      <c r="T72" s="93" t="str">
        <f t="shared" si="21"/>
        <v>4.11.3.</v>
      </c>
      <c r="U72" s="96"/>
    </row>
    <row r="73" spans="1:21" ht="13.8" x14ac:dyDescent="0.3">
      <c r="A73" s="48" t="str">
        <f t="shared" si="7"/>
        <v>4.11.4.</v>
      </c>
      <c r="B73" s="13" t="s">
        <v>287</v>
      </c>
      <c r="C73" s="14" t="s">
        <v>14</v>
      </c>
      <c r="D73" s="329"/>
      <c r="E73" s="368">
        <f>ROUND(E71*E72,0)</f>
        <v>0</v>
      </c>
      <c r="F73" s="368">
        <f t="shared" ref="F73:L73" si="22">ROUND(F71*F72,0)</f>
        <v>0</v>
      </c>
      <c r="G73" s="368">
        <f t="shared" si="22"/>
        <v>0</v>
      </c>
      <c r="H73" s="368">
        <f t="shared" si="22"/>
        <v>0</v>
      </c>
      <c r="I73" s="368">
        <f t="shared" si="22"/>
        <v>0</v>
      </c>
      <c r="J73" s="368">
        <f t="shared" si="22"/>
        <v>0</v>
      </c>
      <c r="K73" s="368">
        <f t="shared" si="22"/>
        <v>0</v>
      </c>
      <c r="L73" s="368">
        <f t="shared" si="22"/>
        <v>0</v>
      </c>
      <c r="N73" s="296"/>
      <c r="O73" s="96">
        <v>2</v>
      </c>
      <c r="P73" s="83">
        <f t="shared" si="17"/>
        <v>4</v>
      </c>
      <c r="Q73" s="83">
        <f>COUNTIFS($O$1:$O73,1)</f>
        <v>11</v>
      </c>
      <c r="R73" s="83">
        <f t="shared" si="16"/>
        <v>4</v>
      </c>
      <c r="S73" s="83"/>
      <c r="T73" s="93" t="str">
        <f t="shared" si="21"/>
        <v>4.11.4.</v>
      </c>
      <c r="U73" s="96"/>
    </row>
    <row r="74" spans="1:21" ht="30" customHeight="1" thickBot="1" x14ac:dyDescent="0.35">
      <c r="A74" s="99" t="str">
        <f t="shared" si="7"/>
        <v>4.11.5.</v>
      </c>
      <c r="B74" s="97" t="s">
        <v>294</v>
      </c>
      <c r="C74" s="92"/>
      <c r="D74" s="486"/>
      <c r="E74" s="486"/>
      <c r="F74" s="486"/>
      <c r="G74" s="486"/>
      <c r="H74" s="486"/>
      <c r="I74" s="486"/>
      <c r="J74" s="486"/>
      <c r="K74" s="486"/>
      <c r="L74" s="486"/>
      <c r="N74" s="296" t="s">
        <v>856</v>
      </c>
      <c r="O74" s="96">
        <v>2</v>
      </c>
      <c r="P74" s="83">
        <f t="shared" si="17"/>
        <v>4</v>
      </c>
      <c r="Q74" s="83">
        <f>COUNTIFS($O$1:$O74,1)</f>
        <v>11</v>
      </c>
      <c r="R74" s="83">
        <f t="shared" si="16"/>
        <v>5</v>
      </c>
      <c r="S74" s="83"/>
      <c r="T74" s="93" t="str">
        <f t="shared" si="21"/>
        <v>4.11.5.</v>
      </c>
      <c r="U74" s="96"/>
    </row>
    <row r="75" spans="1:21" ht="13.8" x14ac:dyDescent="0.3">
      <c r="A75" s="57" t="str">
        <f t="shared" si="7"/>
        <v>4.12.</v>
      </c>
      <c r="B75" s="188" t="s">
        <v>290</v>
      </c>
      <c r="C75" s="90"/>
      <c r="D75" s="488"/>
      <c r="E75" s="488"/>
      <c r="F75" s="488"/>
      <c r="G75" s="488"/>
      <c r="H75" s="488"/>
      <c r="I75" s="488"/>
      <c r="J75" s="488"/>
      <c r="K75" s="488"/>
      <c r="L75" s="488"/>
      <c r="N75" s="296" t="s">
        <v>858</v>
      </c>
      <c r="O75" s="96">
        <v>1</v>
      </c>
      <c r="P75" s="83">
        <f t="shared" si="17"/>
        <v>4</v>
      </c>
      <c r="Q75" s="83">
        <f>COUNTIFS($O$1:$O75,1)</f>
        <v>12</v>
      </c>
      <c r="R75" s="83" t="str">
        <f t="shared" si="16"/>
        <v/>
      </c>
      <c r="S75" s="83"/>
      <c r="T75" s="93" t="str">
        <f t="shared" si="21"/>
        <v>4.12.</v>
      </c>
      <c r="U75" s="96"/>
    </row>
    <row r="76" spans="1:21" ht="13.8" x14ac:dyDescent="0.3">
      <c r="A76" s="48" t="str">
        <f t="shared" ref="A76:A86" si="23">CONCATENATE($P76, ".", $Q76, IF($R76&lt;&gt;"", CONCATENATE(".", $R76), ""), ".")</f>
        <v>4.12.1.</v>
      </c>
      <c r="B76" s="98" t="s">
        <v>285</v>
      </c>
      <c r="C76" s="89"/>
      <c r="D76" s="490"/>
      <c r="E76" s="490"/>
      <c r="F76" s="490"/>
      <c r="G76" s="490"/>
      <c r="H76" s="490"/>
      <c r="I76" s="490"/>
      <c r="J76" s="490"/>
      <c r="K76" s="490"/>
      <c r="L76" s="490"/>
      <c r="N76" s="296" t="s">
        <v>852</v>
      </c>
      <c r="O76" s="96">
        <v>2</v>
      </c>
      <c r="P76" s="83">
        <f t="shared" si="17"/>
        <v>4</v>
      </c>
      <c r="Q76" s="83">
        <f>COUNTIFS($O$1:$O76,1)</f>
        <v>12</v>
      </c>
      <c r="R76" s="83">
        <f t="shared" si="16"/>
        <v>1</v>
      </c>
      <c r="S76" s="83"/>
      <c r="T76" s="93" t="str">
        <f t="shared" si="21"/>
        <v>4.12.1.</v>
      </c>
      <c r="U76" s="96"/>
    </row>
    <row r="77" spans="1:21" ht="13.8" x14ac:dyDescent="0.3">
      <c r="A77" s="48" t="str">
        <f t="shared" si="23"/>
        <v>4.12.2.</v>
      </c>
      <c r="B77" s="22" t="s">
        <v>17</v>
      </c>
      <c r="C77" s="317" t="s">
        <v>19</v>
      </c>
      <c r="D77" s="329"/>
      <c r="E77" s="329"/>
      <c r="F77" s="329"/>
      <c r="G77" s="329"/>
      <c r="H77" s="329"/>
      <c r="I77" s="329"/>
      <c r="J77" s="329"/>
      <c r="K77" s="329"/>
      <c r="L77" s="329"/>
      <c r="N77" s="297" t="s">
        <v>853</v>
      </c>
      <c r="O77" s="96">
        <v>2</v>
      </c>
      <c r="P77" s="83">
        <f t="shared" si="17"/>
        <v>4</v>
      </c>
      <c r="Q77" s="83">
        <f>COUNTIFS($O$1:$O77,1)</f>
        <v>12</v>
      </c>
      <c r="R77" s="83">
        <f t="shared" si="16"/>
        <v>2</v>
      </c>
      <c r="S77" s="83"/>
      <c r="T77" s="93" t="str">
        <f t="shared" si="21"/>
        <v>4.12.2.</v>
      </c>
      <c r="U77" s="96"/>
    </row>
    <row r="78" spans="1:21" ht="13.8" x14ac:dyDescent="0.3">
      <c r="A78" s="48" t="str">
        <f t="shared" si="23"/>
        <v>4.12.3.</v>
      </c>
      <c r="B78" s="22" t="s">
        <v>18</v>
      </c>
      <c r="C78" s="14" t="str">
        <f>CONCATENATE("Eur/",C77)</f>
        <v>Eur/vnt.</v>
      </c>
      <c r="D78" s="367" t="str">
        <f>IFERROR(ROUND(D79/D77,2),"-")</f>
        <v>-</v>
      </c>
      <c r="E78" s="330"/>
      <c r="F78" s="330"/>
      <c r="G78" s="330"/>
      <c r="H78" s="330"/>
      <c r="I78" s="330"/>
      <c r="J78" s="330"/>
      <c r="K78" s="330"/>
      <c r="L78" s="330"/>
      <c r="N78" s="296" t="s">
        <v>855</v>
      </c>
      <c r="O78" s="96">
        <v>2</v>
      </c>
      <c r="P78" s="83">
        <f t="shared" si="17"/>
        <v>4</v>
      </c>
      <c r="Q78" s="83">
        <f>COUNTIFS($O$1:$O78,1)</f>
        <v>12</v>
      </c>
      <c r="R78" s="83">
        <f t="shared" si="16"/>
        <v>3</v>
      </c>
      <c r="S78" s="83"/>
      <c r="T78" s="93" t="str">
        <f t="shared" si="21"/>
        <v>4.12.3.</v>
      </c>
      <c r="U78" s="96"/>
    </row>
    <row r="79" spans="1:21" ht="13.8" x14ac:dyDescent="0.3">
      <c r="A79" s="48" t="str">
        <f t="shared" si="23"/>
        <v>4.12.4.</v>
      </c>
      <c r="B79" s="24" t="s">
        <v>291</v>
      </c>
      <c r="C79" s="45" t="s">
        <v>14</v>
      </c>
      <c r="D79" s="329"/>
      <c r="E79" s="368">
        <f>ROUND(E77*E78,0)</f>
        <v>0</v>
      </c>
      <c r="F79" s="368">
        <f t="shared" ref="F79:L79" si="24">ROUND(F77*F78,0)</f>
        <v>0</v>
      </c>
      <c r="G79" s="368">
        <f t="shared" si="24"/>
        <v>0</v>
      </c>
      <c r="H79" s="368">
        <f t="shared" si="24"/>
        <v>0</v>
      </c>
      <c r="I79" s="368">
        <f t="shared" si="24"/>
        <v>0</v>
      </c>
      <c r="J79" s="368">
        <f t="shared" si="24"/>
        <v>0</v>
      </c>
      <c r="K79" s="368">
        <f t="shared" si="24"/>
        <v>0</v>
      </c>
      <c r="L79" s="368">
        <f t="shared" si="24"/>
        <v>0</v>
      </c>
      <c r="N79" s="296"/>
      <c r="O79" s="96">
        <v>2</v>
      </c>
      <c r="P79" s="83">
        <f t="shared" si="17"/>
        <v>4</v>
      </c>
      <c r="Q79" s="83">
        <f>COUNTIFS($O$1:$O79,1)</f>
        <v>12</v>
      </c>
      <c r="R79" s="83">
        <f t="shared" si="16"/>
        <v>4</v>
      </c>
      <c r="S79" s="83"/>
      <c r="T79" s="93" t="str">
        <f t="shared" si="21"/>
        <v>4.12.4.</v>
      </c>
      <c r="U79" s="96"/>
    </row>
    <row r="80" spans="1:21" ht="30" customHeight="1" thickBot="1" x14ac:dyDescent="0.35">
      <c r="A80" s="99" t="str">
        <f t="shared" si="23"/>
        <v>4.12.5.</v>
      </c>
      <c r="B80" s="91" t="s">
        <v>294</v>
      </c>
      <c r="C80" s="92"/>
      <c r="D80" s="486"/>
      <c r="E80" s="486"/>
      <c r="F80" s="486"/>
      <c r="G80" s="486"/>
      <c r="H80" s="486"/>
      <c r="I80" s="486"/>
      <c r="J80" s="486"/>
      <c r="K80" s="486"/>
      <c r="L80" s="486"/>
      <c r="N80" s="296" t="s">
        <v>856</v>
      </c>
      <c r="O80" s="96">
        <v>2</v>
      </c>
      <c r="P80" s="83">
        <f t="shared" si="17"/>
        <v>4</v>
      </c>
      <c r="Q80" s="83">
        <f>COUNTIFS($O$1:$O80,1)</f>
        <v>12</v>
      </c>
      <c r="R80" s="83">
        <f t="shared" si="16"/>
        <v>5</v>
      </c>
      <c r="S80" s="83"/>
      <c r="T80" s="93" t="str">
        <f t="shared" si="21"/>
        <v>4.12.5.</v>
      </c>
      <c r="U80" s="96"/>
    </row>
    <row r="81" spans="1:21" ht="13.8" x14ac:dyDescent="0.3">
      <c r="A81" s="57" t="str">
        <f t="shared" si="23"/>
        <v>4.13.</v>
      </c>
      <c r="B81" s="188" t="s">
        <v>290</v>
      </c>
      <c r="C81" s="90"/>
      <c r="D81" s="488"/>
      <c r="E81" s="488"/>
      <c r="F81" s="488"/>
      <c r="G81" s="488"/>
      <c r="H81" s="488"/>
      <c r="I81" s="488"/>
      <c r="J81" s="488"/>
      <c r="K81" s="488"/>
      <c r="L81" s="488"/>
      <c r="N81" s="296" t="s">
        <v>858</v>
      </c>
      <c r="O81" s="96">
        <v>1</v>
      </c>
      <c r="P81" s="83">
        <f t="shared" si="17"/>
        <v>4</v>
      </c>
      <c r="Q81" s="83">
        <f>COUNTIFS($O$1:$O81,1)</f>
        <v>13</v>
      </c>
      <c r="R81" s="83" t="str">
        <f t="shared" ref="R81:R86" si="25">IF($O81=$R$1,IF($O81&lt;&gt;$O80, 1, R80+1),"")</f>
        <v/>
      </c>
      <c r="S81" s="83"/>
      <c r="T81" s="93" t="str">
        <f t="shared" si="21"/>
        <v>4.13.</v>
      </c>
      <c r="U81" s="96"/>
    </row>
    <row r="82" spans="1:21" ht="13.8" x14ac:dyDescent="0.3">
      <c r="A82" s="48" t="str">
        <f t="shared" si="23"/>
        <v>4.13.1.</v>
      </c>
      <c r="B82" s="98" t="s">
        <v>285</v>
      </c>
      <c r="C82" s="89"/>
      <c r="D82" s="487"/>
      <c r="E82" s="487"/>
      <c r="F82" s="487"/>
      <c r="G82" s="487"/>
      <c r="H82" s="487"/>
      <c r="I82" s="487"/>
      <c r="J82" s="487"/>
      <c r="K82" s="487"/>
      <c r="L82" s="487"/>
      <c r="N82" s="296" t="s">
        <v>852</v>
      </c>
      <c r="O82" s="96">
        <v>2</v>
      </c>
      <c r="P82" s="83">
        <f t="shared" si="17"/>
        <v>4</v>
      </c>
      <c r="Q82" s="83">
        <f>COUNTIFS($O$1:$O82,1)</f>
        <v>13</v>
      </c>
      <c r="R82" s="83">
        <f t="shared" si="25"/>
        <v>1</v>
      </c>
      <c r="S82" s="83"/>
      <c r="T82" s="93" t="str">
        <f t="shared" si="21"/>
        <v>4.13.1.</v>
      </c>
      <c r="U82" s="96"/>
    </row>
    <row r="83" spans="1:21" ht="13.8" x14ac:dyDescent="0.3">
      <c r="A83" s="48" t="str">
        <f t="shared" si="23"/>
        <v>4.13.2.</v>
      </c>
      <c r="B83" s="22" t="s">
        <v>17</v>
      </c>
      <c r="C83" s="317" t="s">
        <v>298</v>
      </c>
      <c r="D83" s="329"/>
      <c r="E83" s="329"/>
      <c r="F83" s="329"/>
      <c r="G83" s="329"/>
      <c r="H83" s="329"/>
      <c r="I83" s="329"/>
      <c r="J83" s="329"/>
      <c r="K83" s="329"/>
      <c r="L83" s="329"/>
      <c r="N83" s="297" t="s">
        <v>853</v>
      </c>
      <c r="O83" s="96">
        <v>2</v>
      </c>
      <c r="P83" s="83">
        <f t="shared" si="17"/>
        <v>4</v>
      </c>
      <c r="Q83" s="83">
        <f>COUNTIFS($O$1:$O83,1)</f>
        <v>13</v>
      </c>
      <c r="R83" s="83">
        <f t="shared" si="25"/>
        <v>2</v>
      </c>
      <c r="S83" s="83"/>
      <c r="T83" s="93" t="str">
        <f t="shared" si="21"/>
        <v>4.13.2.</v>
      </c>
      <c r="U83" s="96"/>
    </row>
    <row r="84" spans="1:21" ht="13.8" x14ac:dyDescent="0.3">
      <c r="A84" s="48" t="str">
        <f t="shared" si="23"/>
        <v>4.13.3.</v>
      </c>
      <c r="B84" s="22" t="s">
        <v>18</v>
      </c>
      <c r="C84" s="14" t="str">
        <f>CONCATENATE("Eur/",C83)</f>
        <v>Eur/m3</v>
      </c>
      <c r="D84" s="367" t="str">
        <f>IFERROR(ROUND(D85/D83,2),"-")</f>
        <v>-</v>
      </c>
      <c r="E84" s="330"/>
      <c r="F84" s="330"/>
      <c r="G84" s="330"/>
      <c r="H84" s="330"/>
      <c r="I84" s="330"/>
      <c r="J84" s="330"/>
      <c r="K84" s="330"/>
      <c r="L84" s="330"/>
      <c r="N84" s="296" t="s">
        <v>855</v>
      </c>
      <c r="O84" s="96">
        <v>2</v>
      </c>
      <c r="P84" s="83">
        <f t="shared" si="17"/>
        <v>4</v>
      </c>
      <c r="Q84" s="83">
        <f>COUNTIFS($O$1:$O84,1)</f>
        <v>13</v>
      </c>
      <c r="R84" s="83">
        <f t="shared" si="25"/>
        <v>3</v>
      </c>
      <c r="S84" s="83"/>
      <c r="T84" s="93" t="str">
        <f t="shared" si="21"/>
        <v>4.13.3.</v>
      </c>
      <c r="U84" s="96"/>
    </row>
    <row r="85" spans="1:21" ht="13.8" x14ac:dyDescent="0.3">
      <c r="A85" s="48" t="str">
        <f t="shared" si="23"/>
        <v>4.13.4.</v>
      </c>
      <c r="B85" s="24" t="s">
        <v>291</v>
      </c>
      <c r="C85" s="45" t="s">
        <v>14</v>
      </c>
      <c r="D85" s="329"/>
      <c r="E85" s="368">
        <f>ROUND(E83*E84,0)</f>
        <v>0</v>
      </c>
      <c r="F85" s="368">
        <f t="shared" ref="F85:L85" si="26">ROUND(F83*F84,0)</f>
        <v>0</v>
      </c>
      <c r="G85" s="368">
        <f t="shared" si="26"/>
        <v>0</v>
      </c>
      <c r="H85" s="368">
        <f t="shared" si="26"/>
        <v>0</v>
      </c>
      <c r="I85" s="368">
        <f t="shared" si="26"/>
        <v>0</v>
      </c>
      <c r="J85" s="368">
        <f t="shared" si="26"/>
        <v>0</v>
      </c>
      <c r="K85" s="368">
        <f t="shared" si="26"/>
        <v>0</v>
      </c>
      <c r="L85" s="368">
        <f t="shared" si="26"/>
        <v>0</v>
      </c>
      <c r="N85" s="296"/>
      <c r="O85" s="96">
        <v>2</v>
      </c>
      <c r="P85" s="83">
        <f t="shared" si="17"/>
        <v>4</v>
      </c>
      <c r="Q85" s="83">
        <f>COUNTIFS($O$1:$O85,1)</f>
        <v>13</v>
      </c>
      <c r="R85" s="83">
        <f t="shared" si="25"/>
        <v>4</v>
      </c>
      <c r="S85" s="83"/>
      <c r="T85" s="93" t="str">
        <f t="shared" si="21"/>
        <v>4.13.4.</v>
      </c>
      <c r="U85" s="96"/>
    </row>
    <row r="86" spans="1:21" ht="30" customHeight="1" thickBot="1" x14ac:dyDescent="0.35">
      <c r="A86" s="99" t="str">
        <f t="shared" si="23"/>
        <v>4.13.5.</v>
      </c>
      <c r="B86" s="91" t="s">
        <v>294</v>
      </c>
      <c r="C86" s="92"/>
      <c r="D86" s="486"/>
      <c r="E86" s="486"/>
      <c r="F86" s="486"/>
      <c r="G86" s="486"/>
      <c r="H86" s="486"/>
      <c r="I86" s="486"/>
      <c r="J86" s="486"/>
      <c r="K86" s="486"/>
      <c r="L86" s="486"/>
      <c r="N86" s="296" t="s">
        <v>856</v>
      </c>
      <c r="O86" s="96">
        <v>2</v>
      </c>
      <c r="P86" s="83">
        <f t="shared" si="17"/>
        <v>4</v>
      </c>
      <c r="Q86" s="83">
        <f>COUNTIFS($O$1:$O86,1)</f>
        <v>13</v>
      </c>
      <c r="R86" s="83">
        <f t="shared" si="25"/>
        <v>5</v>
      </c>
      <c r="S86" s="83"/>
      <c r="T86" s="93" t="str">
        <f t="shared" si="21"/>
        <v>4.13.5.</v>
      </c>
      <c r="U86" s="96"/>
    </row>
  </sheetData>
  <sheetProtection algorithmName="SHA-512" hashValue="1unPfQeP0ZaAHJb96p0UrkTcmxybmGoumXXT23eodsRAKlZW6g9abiNi4RXJ+izqsl+qodXahM/puu+NmgIjdw==" saltValue="7/JzmSVlDjcQuA+VjJdMLg==" spinCount="100000" sheet="1" objects="1" scenarios="1" formatRows="0"/>
  <mergeCells count="40">
    <mergeCell ref="B2:L2"/>
    <mergeCell ref="A4:B5"/>
    <mergeCell ref="C4:C5"/>
    <mergeCell ref="E4:L4"/>
    <mergeCell ref="D10:L10"/>
    <mergeCell ref="D86:L86"/>
    <mergeCell ref="D11:L11"/>
    <mergeCell ref="D63:L63"/>
    <mergeCell ref="D64:L64"/>
    <mergeCell ref="D69:L69"/>
    <mergeCell ref="D70:L70"/>
    <mergeCell ref="D17:L17"/>
    <mergeCell ref="D18:L18"/>
    <mergeCell ref="D24:L24"/>
    <mergeCell ref="D25:L25"/>
    <mergeCell ref="D31:L31"/>
    <mergeCell ref="D32:L32"/>
    <mergeCell ref="D38:L38"/>
    <mergeCell ref="D39:L39"/>
    <mergeCell ref="D45:L45"/>
    <mergeCell ref="D75:L75"/>
    <mergeCell ref="D76:L76"/>
    <mergeCell ref="D81:L81"/>
    <mergeCell ref="D82:L82"/>
    <mergeCell ref="D23:L23"/>
    <mergeCell ref="D80:L80"/>
    <mergeCell ref="D62:L62"/>
    <mergeCell ref="D68:L68"/>
    <mergeCell ref="D74:L74"/>
    <mergeCell ref="D58:L58"/>
    <mergeCell ref="D16:L16"/>
    <mergeCell ref="D46:L46"/>
    <mergeCell ref="D51:L51"/>
    <mergeCell ref="D52:L52"/>
    <mergeCell ref="D57:L57"/>
    <mergeCell ref="D37:L37"/>
    <mergeCell ref="D44:L44"/>
    <mergeCell ref="D30:L30"/>
    <mergeCell ref="D50:L50"/>
    <mergeCell ref="D56:L56"/>
  </mergeCells>
  <phoneticPr fontId="12" type="noConversion"/>
  <conditionalFormatting sqref="C12">
    <cfRule type="expression" dxfId="88" priority="6">
      <formula>C12=""</formula>
    </cfRule>
  </conditionalFormatting>
  <conditionalFormatting sqref="D5:L5">
    <cfRule type="expression" dxfId="87" priority="1">
      <formula>D5="-"</formula>
    </cfRule>
  </conditionalFormatting>
  <pageMargins left="0.70866141732283472" right="0.70866141732283472" top="0.74803149606299213" bottom="0.74803149606299213" header="0.31496062992125984" footer="0.31496062992125984"/>
  <pageSetup paperSize="9" orientation="landscape" blackAndWhite="1" horizontalDpi="4294967293" verticalDpi="4294967293" r:id="rId1"/>
  <extLst>
    <ext xmlns:x14="http://schemas.microsoft.com/office/spreadsheetml/2009/9/main" uri="{78C0D931-6437-407d-A8EE-F0AAD7539E65}">
      <x14:conditionalFormattings>
        <x14:conditionalFormatting xmlns:xm="http://schemas.microsoft.com/office/excel/2006/main">
          <x14:cfRule type="expression" priority="2" id="{4821CE46-9C7D-44A6-A730-C858F453A760}">
            <xm:f>AND(D5&gt;=YEAR(Parametrai!$C$13),D5&lt;=MIN(YEAR('1'!$C$18),YEAR(EOMONTH(Parametrai!$C$13,Parametrai!$C$14)),IF(Parametrai!$C$16&lt;&gt;0,YEAR(Parametrai!$C$16),YEAR(EOMONTH(Parametrai!$C$13,Parametrai!$C$14)))))</xm:f>
            <x14:dxf>
              <fill>
                <patternFill>
                  <bgColor rgb="FFFFF0D2"/>
                </patternFill>
              </fill>
            </x14:dxf>
          </x14:cfRule>
          <xm:sqref>D5:L5</xm:sqref>
        </x14:conditionalFormatting>
      </x14:conditionalFormattings>
    </ext>
    <ext xmlns:x14="http://schemas.microsoft.com/office/spreadsheetml/2009/9/main" uri="{CCE6A557-97BC-4b89-ADB6-D9C93CAAB3DF}">
      <x14:dataValidations xmlns:xm="http://schemas.microsoft.com/office/excel/2006/main" count="1">
        <x14:dataValidation type="list" errorStyle="warning" allowBlank="1" showInputMessage="1" showErrorMessage="1" error="Įsitikinkite, kad įvedėte teisingą matavimo vienetą" prompt="Įveskite pardavimų kiekio matavimo vienetą. Gali būti pasirenkamas iš sąrašo, jei sąraše nėra, gali būti įvedamas savarankiškai." xr:uid="{45DDD134-D133-4EE6-8204-399327EDA876}">
          <x14:formula1>
            <xm:f>Konstantos!$A$96:$A$101</xm:f>
          </x14:formula1>
          <xm:sqref>C12 C83 C77 C71 C65 C59 C53 C47 C40 C33 C26 C19</xm:sqref>
        </x14:dataValidation>
      </x14:dataValidation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1A60A370FD3C854492F056983C98F7C8" ma:contentTypeVersion="11" ma:contentTypeDescription="Create a new document." ma:contentTypeScope="" ma:versionID="29c77a293eccc6520abd328c91da1b86">
  <xsd:schema xmlns:xsd="http://www.w3.org/2001/XMLSchema" xmlns:xs="http://www.w3.org/2001/XMLSchema" xmlns:p="http://schemas.microsoft.com/office/2006/metadata/properties" xmlns:ns3="e9c60118-e424-4716-b915-e6eeaaa56a10" targetNamespace="http://schemas.microsoft.com/office/2006/metadata/properties" ma:root="true" ma:fieldsID="e0cfe1c334bf544fe5223c9d9fd974a1" ns3:_="">
    <xsd:import namespace="e9c60118-e424-4716-b915-e6eeaaa56a10"/>
    <xsd:element name="properties">
      <xsd:complexType>
        <xsd:sequence>
          <xsd:element name="documentManagement">
            <xsd:complexType>
              <xsd:all>
                <xsd:element ref="ns3:MediaServiceDateTaken" minOccurs="0"/>
                <xsd:element ref="ns3:MediaServiceMetadata" minOccurs="0"/>
                <xsd:element ref="ns3:MediaServiceFastMetadata" minOccurs="0"/>
                <xsd:element ref="ns3:MediaServiceSearchProperties" minOccurs="0"/>
                <xsd:element ref="ns3:MediaServiceObjectDetectorVersions" minOccurs="0"/>
                <xsd:element ref="ns3:_activity" minOccurs="0"/>
                <xsd:element ref="ns3:MediaServiceSystemTags" minOccurs="0"/>
                <xsd:element ref="ns3:MediaServiceOCR" minOccurs="0"/>
                <xsd:element ref="ns3:MediaServiceGenerationTime" minOccurs="0"/>
                <xsd:element ref="ns3:MediaServiceEventHashCode" minOccurs="0"/>
                <xsd:element ref="ns3: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9c60118-e424-4716-b915-e6eeaaa56a10" elementFormDefault="qualified">
    <xsd:import namespace="http://schemas.microsoft.com/office/2006/documentManagement/types"/>
    <xsd:import namespace="http://schemas.microsoft.com/office/infopath/2007/PartnerControls"/>
    <xsd:element name="MediaServiceDateTaken" ma:index="8" nillable="true" ma:displayName="MediaServiceDateTaken" ma:hidden="true" ma:indexed="true" ma:internalName="MediaServiceDateTaken" ma:readOnly="true">
      <xsd:simpleType>
        <xsd:restriction base="dms:Text"/>
      </xsd:simple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_activity" ma:index="13" nillable="true" ma:displayName="_activity" ma:hidden="true" ma:internalName="_activity">
      <xsd:simpleType>
        <xsd:restriction base="dms:Note"/>
      </xsd:simpleType>
    </xsd:element>
    <xsd:element name="MediaServiceSystemTags" ma:index="14" nillable="true" ma:displayName="MediaServiceSystemTags" ma:hidden="true" ma:internalName="MediaServiceSystemTags" ma:readOnly="true">
      <xsd:simpleType>
        <xsd:restriction base="dms:Note"/>
      </xsd:simpleType>
    </xsd:element>
    <xsd:element name="MediaServiceOCR" ma:index="15" nillable="true" ma:displayName="Extracted Text" ma:internalName="MediaServiceOCR" ma:readOnly="true">
      <xsd:simpleType>
        <xsd:restriction base="dms:Note">
          <xsd:maxLength value="255"/>
        </xsd:restriction>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MediaLengthInSeconds" ma:index="18" nillable="true" ma:displayName="MediaLengthInSeconds" ma:hidden="true" ma:internalName="MediaLengthInSeconds" ma:readOnly="true">
      <xsd:simpleType>
        <xsd:restriction base="dms:Unknow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_activity xmlns="e9c60118-e424-4716-b915-e6eeaaa56a10" xsi:nil="true"/>
  </documentManagement>
</p:properties>
</file>

<file path=customXml/item4.xml><?xml version="1.0" encoding="utf-8"?>
<AFEJSONBlob xmlns="http://schemas.advancedformulaenvironment.officeapps.live.com/afejsonblob/1.0">ewAiAHMAYwBoAGUAbQBhACIAOgAiAGgAdAB0AHAAOgAvAC8AcwBjAGgAZQBtAGEAcwAuAGEAZAB2AGEAbgBjAGUAZABmAG8AcgBtAHUAbABhAGUAbgB2AGkAcgBvAG4AbQBlAG4AdAAuAG8AZgBmAGkAYwBlAGEAcABwAHMALgBsAGkAdgBlAC4AYwBvAG0ALwBhAGYAZQBwAHIAbwBqAGUAYwB0AHMALwAwAC4AMgAiACwAIgBmAGkAbABlAHMAIgA6AFsAewAiAHAAYQB0AGgAIgA6ACIALwBwAHIAbwBqAGUAYwB0AHMALwBXAG8AcgBrAGIAbwBvAGsAIgAsACIAdABlAHgAdAAiADoAIgAvAC8AIAAtAC0ALQAgAFcAbwByAGsAYgBvAG8AawAgAG0AbwBkAHUAbABlACAALQAtAC0AXABuAC8ALwAgAEEAIABmAGkAbABlACAAbwBmACAAbgBhAG0AZQAgAGQAZQBmAGkAbgBpAHQAaQBvAG4AcwAgAG8AZgAgAHQAaABlACAAZgBvAHIAbQA6AFwAbgAvAC8AIAAgACAAIABuAGEAbQBlACAAPQAgAGQAZQBmAGkAbgBpAHQAaQBvAG4AOwA7AFwAbgAiAH0AXQAsACIAcAByAG8AagBlAGMAdABOAGEAbQBlAHMAIgA6AFsAXQAsACIAbABvAGMAYQBsAGUAIgA6AHsAIgBsAGkAcwB0AFMAZQBwAGEAcgBhAHQAbwByACIAOgAiADsAIgAsACIAcgBvAHcAUwBlAHAAYQByAGEAdABvAHIAIgA6ACIAOwAiACwAIgBjAG8AbAB1AG0AbgBTAGUAcABhAHIAYQB0AG8AcgAiADoAIgBcAFwAIgAsACIAdABoAG8AdQBzAGEAbgBkAHMAUwBlAHAAYQByAGEAdABvAHIAIgA6ACIAIAAiACwAIgB0AGgAbwB1AHMAYQBuAGQAcwBQAG8AcwBpAHQAaQBvAG4AcwAiADoAWwAzAF0ALAAiAGQAZQBjAGkAbQBhAGwAUwBlAHAAYQByAGEAdABvAHIAIgA6ACIALAAiACwAIgBkAGEAdABlAE8AcgBkAGUAcgAiADoAIgBZAE0ARAAiACwAIgBjAHUAcgByAGUAbgBjAHkAUwB5AG0AYgBvAGwAIgA6ACIArCAiACwAIgBpAHMAQwB1AHIAcgBlAG4AYwB5AFMAeQBtAGIAbwBsAEwAZQBhAGQAIgA6AGYAYQBsAHMAZQAsACIAaQBzAEMAdQByAHIAZQBuAGMAeQBTAGUAcABCAHkAUwBwAGEAYwBlACIAOgB0AHIAdQBlACwAIgByAG8AdwBMAGUAdAB0AGUAcgAiADoAIgBSACIALAAiAGMAbwBsAHUAbQBuAEwAZQB0AHQAZQByACIAOgAiAEMAIgAsACIAcgBjAEwAZQBmAHQAQgByAGEAYwBrAGUAdAAiADoAIgBbACIALAAiAHIAYwBSAGkAZwBoAHQAQgByAGEAYwBrAGUAdAAiADoAIgBdACIALAAiAHMAdABhAHQAZQBtAGUAbgB0AFMAZQBwAGEAcgBhAHQAbwByACIAOgAiADsAOwAiACwAIgBsAG8AYwBhAGwAZQBOAGEAbQBlACIAOgAiAGwAdAAtAGwAdAAiAH0AfQA=</AFEJSONBlob>
</file>

<file path=customXml/itemProps1.xml><?xml version="1.0" encoding="utf-8"?>
<ds:datastoreItem xmlns:ds="http://schemas.openxmlformats.org/officeDocument/2006/customXml" ds:itemID="{AFD9BE9D-3E8C-4917-9208-D74E8495DDBE}">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e9c60118-e424-4716-b915-e6eeaaa56a10"/>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2AEBE1C7-68DB-4AB3-ADB2-CF7F09FF5CE5}">
  <ds:schemaRefs>
    <ds:schemaRef ds:uri="http://schemas.microsoft.com/sharepoint/v3/contenttype/forms"/>
  </ds:schemaRefs>
</ds:datastoreItem>
</file>

<file path=customXml/itemProps3.xml><?xml version="1.0" encoding="utf-8"?>
<ds:datastoreItem xmlns:ds="http://schemas.openxmlformats.org/officeDocument/2006/customXml" ds:itemID="{D404DE90-CA94-4EFB-AFDB-61DC99654621}">
  <ds:schemaRefs>
    <ds:schemaRef ds:uri="http://purl.org/dc/elements/1.1/"/>
    <ds:schemaRef ds:uri="http://purl.org/dc/dcmitype/"/>
    <ds:schemaRef ds:uri="http://schemas.microsoft.com/office/2006/documentManagement/types"/>
    <ds:schemaRef ds:uri="e9c60118-e424-4716-b915-e6eeaaa56a10"/>
    <ds:schemaRef ds:uri="http://schemas.microsoft.com/office/infopath/2007/PartnerControls"/>
    <ds:schemaRef ds:uri="http://www.w3.org/XML/1998/namespace"/>
    <ds:schemaRef ds:uri="http://purl.org/dc/terms/"/>
    <ds:schemaRef ds:uri="http://schemas.openxmlformats.org/package/2006/metadata/core-properties"/>
    <ds:schemaRef ds:uri="http://schemas.microsoft.com/office/2006/metadata/properties"/>
  </ds:schemaRefs>
</ds:datastoreItem>
</file>

<file path=customXml/itemProps4.xml><?xml version="1.0" encoding="utf-8"?>
<ds:datastoreItem xmlns:ds="http://schemas.openxmlformats.org/officeDocument/2006/customXml" ds:itemID="{87A5373B-598C-436C-84E5-0F28384E1387}">
  <ds:schemaRefs>
    <ds:schemaRef ds:uri="http://schemas.advancedformulaenvironment.officeapps.live.com/afejsonblob/1.0"/>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Darbalapiai</vt:lpstr>
      </vt:variant>
      <vt:variant>
        <vt:i4>17</vt:i4>
      </vt:variant>
      <vt:variant>
        <vt:lpstr>Įvardytieji diapazonai</vt:lpstr>
      </vt:variant>
      <vt:variant>
        <vt:i4>20</vt:i4>
      </vt:variant>
    </vt:vector>
  </HeadingPairs>
  <TitlesOfParts>
    <vt:vector size="37" baseType="lpstr">
      <vt:lpstr>FA_nvoFormos</vt:lpstr>
      <vt:lpstr>Konstantos</vt:lpstr>
      <vt:lpstr>Forma</vt:lpstr>
      <vt:lpstr>Parametrai</vt:lpstr>
      <vt:lpstr>TURINYS</vt:lpstr>
      <vt:lpstr>Pastabos</vt:lpstr>
      <vt:lpstr>1</vt:lpstr>
      <vt:lpstr>2-3</vt:lpstr>
      <vt:lpstr>4</vt:lpstr>
      <vt:lpstr>5</vt:lpstr>
      <vt:lpstr>6</vt:lpstr>
      <vt:lpstr>7</vt:lpstr>
      <vt:lpstr>8</vt:lpstr>
      <vt:lpstr>9.1_nvo</vt:lpstr>
      <vt:lpstr>9.2_nvo</vt:lpstr>
      <vt:lpstr>9.3_nvo</vt:lpstr>
      <vt:lpstr>10_nvo</vt:lpstr>
      <vt:lpstr>'10_nvo'!Meniu_ParamosIšmokėjimoBūdai</vt:lpstr>
      <vt:lpstr>'9.1_nvo'!Meniu_ParamosIšmokėjimoBūdai</vt:lpstr>
      <vt:lpstr>'9.2_nvo'!Meniu_ParamosIšmokėjimoBūdai</vt:lpstr>
      <vt:lpstr>'9.3_nvo'!Meniu_ParamosIšmokėjimoBūdai</vt:lpstr>
      <vt:lpstr>Meniu_ParamosIšmokėjimoBūdai</vt:lpstr>
      <vt:lpstr>Meniu_TaipNe</vt:lpstr>
      <vt:lpstr>'1'!Print_Area</vt:lpstr>
      <vt:lpstr>'10_nvo'!Print_Area</vt:lpstr>
      <vt:lpstr>'2-3'!Print_Area</vt:lpstr>
      <vt:lpstr>'4'!Print_Area</vt:lpstr>
      <vt:lpstr>'5'!Print_Area</vt:lpstr>
      <vt:lpstr>'6'!Print_Area</vt:lpstr>
      <vt:lpstr>'7'!Print_Area</vt:lpstr>
      <vt:lpstr>'8'!Print_Area</vt:lpstr>
      <vt:lpstr>'9.1_nvo'!Print_Area</vt:lpstr>
      <vt:lpstr>'9.2_nvo'!Print_Area</vt:lpstr>
      <vt:lpstr>'9.3_nvo'!Print_Area</vt:lpstr>
      <vt:lpstr>Parametrai!Print_Area</vt:lpstr>
      <vt:lpstr>Pastabos!Print_Area</vt:lpstr>
      <vt:lpstr>TURINYS!Print_Area</vt:lpstr>
    </vt:vector>
  </TitlesOfParts>
  <Company>Nacionaline mokejimo agentura prie ZUM</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Aida Markaitienė</dc:creator>
  <cp:lastModifiedBy>Alytaus rajono VVG</cp:lastModifiedBy>
  <cp:lastPrinted>2025-11-25T08:06:06Z</cp:lastPrinted>
  <dcterms:created xsi:type="dcterms:W3CDTF">2023-12-06T11:26:15Z</dcterms:created>
  <dcterms:modified xsi:type="dcterms:W3CDTF">2026-02-12T21:10:47Z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0x0101001A60A370FD3C854492F056983C98F7C8</vt:lpwstr>
  </property>
</Properties>
</file>